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7330" windowHeight="12435" activeTab="4"/>
  </bookViews>
  <sheets>
    <sheet name="2017 год " sheetId="25" r:id="rId1"/>
    <sheet name="2018 год" sheetId="16" r:id="rId2"/>
    <sheet name="2019 год" sheetId="17" r:id="rId3"/>
    <sheet name="МБТ2017" sheetId="27" r:id="rId4"/>
    <sheet name="Акты" sheetId="28" r:id="rId5"/>
  </sheets>
  <definedNames>
    <definedName name="_xlnm._FilterDatabase" localSheetId="0" hidden="1">'2017 год '!$A$5:$G$96</definedName>
    <definedName name="_xlnm._FilterDatabase" localSheetId="1" hidden="1">'2018 год'!$A$5:$G$96</definedName>
    <definedName name="_xlnm._FilterDatabase" localSheetId="2" hidden="1">'2019 год'!$A$5:$G$96</definedName>
    <definedName name="_xlnm._FilterDatabase" localSheetId="4" hidden="1">Акты!$A$4:$F$91</definedName>
    <definedName name="_xlnm._FilterDatabase" localSheetId="3" hidden="1">МБТ2017!$A$6:$WUI$99</definedName>
    <definedName name="_xlnm.Print_Titles" localSheetId="0">'2017 год '!$5:$5</definedName>
    <definedName name="_xlnm.Print_Area" localSheetId="0">'2017 год '!$A$1:$E$96</definedName>
    <definedName name="_xlnm.Print_Area" localSheetId="1">'2018 год'!$A$1:$E$96</definedName>
    <definedName name="_xlnm.Print_Area" localSheetId="2">'2019 год'!$A$1:$E$96</definedName>
    <definedName name="_xlnm.Print_Area" localSheetId="4">Акты!$A$1:$E$90</definedName>
    <definedName name="_xlnm.Print_Area" localSheetId="3">МБТ2017!$A$1:$G$91</definedName>
  </definedNames>
  <calcPr calcId="145621"/>
</workbook>
</file>

<file path=xl/calcChain.xml><?xml version="1.0" encoding="utf-8"?>
<calcChain xmlns="http://schemas.openxmlformats.org/spreadsheetml/2006/main">
  <c r="F5" i="28" l="1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F40" i="28"/>
  <c r="F41" i="28"/>
  <c r="F42" i="28"/>
  <c r="F43" i="28"/>
  <c r="F44" i="28"/>
  <c r="F45" i="28"/>
  <c r="F46" i="28"/>
  <c r="F47" i="28"/>
  <c r="F48" i="28"/>
  <c r="F49" i="28"/>
  <c r="F50" i="28"/>
  <c r="F51" i="28"/>
  <c r="F52" i="28"/>
  <c r="F53" i="28"/>
  <c r="F54" i="28"/>
  <c r="F55" i="28"/>
  <c r="F56" i="28"/>
  <c r="F57" i="28"/>
  <c r="F58" i="28"/>
  <c r="F59" i="28"/>
  <c r="F60" i="28"/>
  <c r="F61" i="28"/>
  <c r="F62" i="28"/>
  <c r="F63" i="28"/>
  <c r="F64" i="28"/>
  <c r="F65" i="28"/>
  <c r="F66" i="28"/>
  <c r="F67" i="28"/>
  <c r="F68" i="28"/>
  <c r="F69" i="28"/>
  <c r="F70" i="28"/>
  <c r="F71" i="28"/>
  <c r="F72" i="28"/>
  <c r="F73" i="28"/>
  <c r="F74" i="28"/>
  <c r="F75" i="28"/>
  <c r="F76" i="28"/>
  <c r="F77" i="28"/>
  <c r="F78" i="28"/>
  <c r="F79" i="28"/>
  <c r="F80" i="28"/>
  <c r="F81" i="28"/>
  <c r="F82" i="28"/>
  <c r="F83" i="28"/>
  <c r="F84" i="28"/>
  <c r="F85" i="28"/>
  <c r="F86" i="28"/>
  <c r="F87" i="28"/>
  <c r="F88" i="28"/>
  <c r="F89" i="28"/>
  <c r="C91" i="28"/>
  <c r="D91" i="28"/>
  <c r="E91" i="28"/>
  <c r="C6" i="27"/>
  <c r="D6" i="27"/>
  <c r="A7" i="27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45" i="27" s="1"/>
  <c r="A46" i="27" s="1"/>
  <c r="A47" i="27" s="1"/>
  <c r="A48" i="27" s="1"/>
  <c r="A49" i="27" s="1"/>
  <c r="A50" i="27" s="1"/>
  <c r="A51" i="27" s="1"/>
  <c r="A52" i="27" s="1"/>
  <c r="A53" i="27" s="1"/>
  <c r="A54" i="27" s="1"/>
  <c r="A55" i="27" s="1"/>
  <c r="A56" i="27" s="1"/>
  <c r="A57" i="27" s="1"/>
  <c r="A58" i="27" s="1"/>
  <c r="A59" i="27" s="1"/>
  <c r="A60" i="27" s="1"/>
  <c r="A61" i="27" s="1"/>
  <c r="A62" i="27" s="1"/>
  <c r="A63" i="27" s="1"/>
  <c r="A64" i="27" s="1"/>
  <c r="A65" i="27" s="1"/>
  <c r="A66" i="27" s="1"/>
  <c r="A67" i="27" s="1"/>
  <c r="A68" i="27" s="1"/>
  <c r="A69" i="27" s="1"/>
  <c r="A70" i="27" s="1"/>
  <c r="A71" i="27" s="1"/>
  <c r="A72" i="27" s="1"/>
  <c r="A73" i="27" s="1"/>
  <c r="A74" i="27" s="1"/>
  <c r="A75" i="27" s="1"/>
  <c r="A76" i="27" s="1"/>
  <c r="A77" i="27" s="1"/>
  <c r="A78" i="27" s="1"/>
  <c r="A79" i="27" s="1"/>
  <c r="A80" i="27" s="1"/>
  <c r="A81" i="27" s="1"/>
  <c r="A82" i="27" s="1"/>
  <c r="A83" i="27" s="1"/>
  <c r="A84" i="27" s="1"/>
  <c r="A85" i="27" s="1"/>
  <c r="A86" i="27" s="1"/>
  <c r="A87" i="27" s="1"/>
  <c r="A88" i="27" s="1"/>
  <c r="A89" i="27" s="1"/>
  <c r="A90" i="27" s="1"/>
  <c r="C7" i="27"/>
  <c r="F7" i="27" s="1"/>
  <c r="D7" i="27"/>
  <c r="C8" i="27"/>
  <c r="F8" i="27" s="1"/>
  <c r="D8" i="27"/>
  <c r="C9" i="27"/>
  <c r="D9" i="27"/>
  <c r="F9" i="27"/>
  <c r="C10" i="27"/>
  <c r="D10" i="27"/>
  <c r="C11" i="27"/>
  <c r="D11" i="27"/>
  <c r="C12" i="27"/>
  <c r="F12" i="27" s="1"/>
  <c r="D12" i="27"/>
  <c r="C13" i="27"/>
  <c r="F13" i="27" s="1"/>
  <c r="D13" i="27"/>
  <c r="C14" i="27"/>
  <c r="D14" i="27"/>
  <c r="F14" i="27" s="1"/>
  <c r="C15" i="27"/>
  <c r="F15" i="27" s="1"/>
  <c r="D15" i="27"/>
  <c r="C16" i="27"/>
  <c r="D16" i="27"/>
  <c r="F17" i="27"/>
  <c r="C18" i="27"/>
  <c r="F18" i="27" s="1"/>
  <c r="D18" i="27"/>
  <c r="C19" i="27"/>
  <c r="D19" i="27"/>
  <c r="C20" i="27"/>
  <c r="D20" i="27"/>
  <c r="C21" i="27"/>
  <c r="F21" i="27" s="1"/>
  <c r="D21" i="27"/>
  <c r="C22" i="27"/>
  <c r="D22" i="27"/>
  <c r="F22" i="27"/>
  <c r="C23" i="27"/>
  <c r="D23" i="27"/>
  <c r="C24" i="27"/>
  <c r="D24" i="27"/>
  <c r="C25" i="27"/>
  <c r="F25" i="27" s="1"/>
  <c r="D25" i="27"/>
  <c r="C26" i="27"/>
  <c r="D26" i="27"/>
  <c r="F26" i="27" s="1"/>
  <c r="C27" i="27"/>
  <c r="D27" i="27"/>
  <c r="F27" i="27" s="1"/>
  <c r="C28" i="27"/>
  <c r="F28" i="27" s="1"/>
  <c r="D28" i="27"/>
  <c r="C29" i="27"/>
  <c r="D29" i="27"/>
  <c r="C30" i="27"/>
  <c r="F30" i="27" s="1"/>
  <c r="D30" i="27"/>
  <c r="C31" i="27"/>
  <c r="D31" i="27"/>
  <c r="F31" i="27" s="1"/>
  <c r="C32" i="27"/>
  <c r="F32" i="27" s="1"/>
  <c r="D32" i="27"/>
  <c r="C33" i="27"/>
  <c r="D33" i="27"/>
  <c r="C34" i="27"/>
  <c r="F34" i="27" s="1"/>
  <c r="D34" i="27"/>
  <c r="C35" i="27"/>
  <c r="D35" i="27"/>
  <c r="C36" i="27"/>
  <c r="D36" i="27"/>
  <c r="C37" i="27"/>
  <c r="F37" i="27" s="1"/>
  <c r="D37" i="27"/>
  <c r="C38" i="27"/>
  <c r="D38" i="27"/>
  <c r="C39" i="27"/>
  <c r="F39" i="27" s="1"/>
  <c r="D39" i="27"/>
  <c r="C40" i="27"/>
  <c r="D40" i="27"/>
  <c r="F40" i="27" s="1"/>
  <c r="C41" i="27"/>
  <c r="F41" i="27" s="1"/>
  <c r="D41" i="27"/>
  <c r="C42" i="27"/>
  <c r="D42" i="27"/>
  <c r="C43" i="27"/>
  <c r="F43" i="27" s="1"/>
  <c r="D43" i="27"/>
  <c r="C44" i="27"/>
  <c r="D44" i="27"/>
  <c r="C45" i="27"/>
  <c r="D45" i="27"/>
  <c r="C46" i="27"/>
  <c r="F46" i="27" s="1"/>
  <c r="D46" i="27"/>
  <c r="C47" i="27"/>
  <c r="D47" i="27"/>
  <c r="F47" i="27"/>
  <c r="C48" i="27"/>
  <c r="D48" i="27"/>
  <c r="C49" i="27"/>
  <c r="D49" i="27"/>
  <c r="C50" i="27"/>
  <c r="F50" i="27" s="1"/>
  <c r="D50" i="27"/>
  <c r="C51" i="27"/>
  <c r="D51" i="27"/>
  <c r="F51" i="27" s="1"/>
  <c r="C52" i="27"/>
  <c r="D52" i="27"/>
  <c r="F52" i="27" s="1"/>
  <c r="C53" i="27"/>
  <c r="F53" i="27" s="1"/>
  <c r="D53" i="27"/>
  <c r="C54" i="27"/>
  <c r="D54" i="27"/>
  <c r="C55" i="27"/>
  <c r="F55" i="27" s="1"/>
  <c r="D55" i="27"/>
  <c r="C56" i="27"/>
  <c r="D56" i="27"/>
  <c r="F56" i="27" s="1"/>
  <c r="C57" i="27"/>
  <c r="F57" i="27" s="1"/>
  <c r="D57" i="27"/>
  <c r="C58" i="27"/>
  <c r="D58" i="27"/>
  <c r="C59" i="27"/>
  <c r="F59" i="27" s="1"/>
  <c r="D59" i="27"/>
  <c r="C60" i="27"/>
  <c r="D60" i="27"/>
  <c r="C61" i="27"/>
  <c r="D61" i="27"/>
  <c r="C62" i="27"/>
  <c r="F62" i="27" s="1"/>
  <c r="D62" i="27"/>
  <c r="C63" i="27"/>
  <c r="D63" i="27"/>
  <c r="F63" i="27"/>
  <c r="C64" i="27"/>
  <c r="D64" i="27"/>
  <c r="C65" i="27"/>
  <c r="D65" i="27"/>
  <c r="C66" i="27"/>
  <c r="F66" i="27" s="1"/>
  <c r="D66" i="27"/>
  <c r="C67" i="27"/>
  <c r="D67" i="27"/>
  <c r="F67" i="27" s="1"/>
  <c r="C68" i="27"/>
  <c r="D68" i="27"/>
  <c r="F68" i="27"/>
  <c r="C69" i="27"/>
  <c r="F69" i="27" s="1"/>
  <c r="D69" i="27"/>
  <c r="C70" i="27"/>
  <c r="D70" i="27"/>
  <c r="C71" i="27"/>
  <c r="F71" i="27" s="1"/>
  <c r="D71" i="27"/>
  <c r="C72" i="27"/>
  <c r="F72" i="27" s="1"/>
  <c r="D72" i="27"/>
  <c r="C73" i="27"/>
  <c r="D73" i="27"/>
  <c r="C74" i="27"/>
  <c r="F74" i="27" s="1"/>
  <c r="D74" i="27"/>
  <c r="C75" i="27"/>
  <c r="D75" i="27"/>
  <c r="F75" i="27" s="1"/>
  <c r="C76" i="27"/>
  <c r="D76" i="27"/>
  <c r="F76" i="27"/>
  <c r="C77" i="27"/>
  <c r="F77" i="27" s="1"/>
  <c r="D77" i="27"/>
  <c r="C78" i="27"/>
  <c r="D78" i="27"/>
  <c r="C79" i="27"/>
  <c r="F79" i="27" s="1"/>
  <c r="D79" i="27"/>
  <c r="C80" i="27"/>
  <c r="F80" i="27" s="1"/>
  <c r="D80" i="27"/>
  <c r="C81" i="27"/>
  <c r="D81" i="27"/>
  <c r="C82" i="27"/>
  <c r="F82" i="27" s="1"/>
  <c r="D82" i="27"/>
  <c r="C83" i="27"/>
  <c r="D83" i="27"/>
  <c r="F83" i="27" s="1"/>
  <c r="C84" i="27"/>
  <c r="D84" i="27"/>
  <c r="F84" i="27" s="1"/>
  <c r="C86" i="27"/>
  <c r="F86" i="27" s="1"/>
  <c r="D86" i="27"/>
  <c r="C87" i="27"/>
  <c r="F87" i="27"/>
  <c r="C88" i="27"/>
  <c r="F88" i="27" s="1"/>
  <c r="D88" i="27"/>
  <c r="C89" i="27"/>
  <c r="D89" i="27"/>
  <c r="F89" i="27"/>
  <c r="C90" i="27"/>
  <c r="D90" i="27"/>
  <c r="F90" i="27"/>
  <c r="E91" i="27"/>
  <c r="F60" i="27" l="1"/>
  <c r="F44" i="27"/>
  <c r="F35" i="27"/>
  <c r="F19" i="27"/>
  <c r="F78" i="27"/>
  <c r="F70" i="27"/>
  <c r="F58" i="27"/>
  <c r="F11" i="27"/>
  <c r="F81" i="27"/>
  <c r="F73" i="27"/>
  <c r="F65" i="27"/>
  <c r="F49" i="27"/>
  <c r="F42" i="27"/>
  <c r="F33" i="27"/>
  <c r="F24" i="27"/>
  <c r="F64" i="27"/>
  <c r="F61" i="27"/>
  <c r="F54" i="27"/>
  <c r="F48" i="27"/>
  <c r="F45" i="27"/>
  <c r="F38" i="27"/>
  <c r="F36" i="27"/>
  <c r="F29" i="27"/>
  <c r="F23" i="27"/>
  <c r="F20" i="27"/>
  <c r="F16" i="27"/>
  <c r="F10" i="27"/>
  <c r="F91" i="27" s="1"/>
  <c r="F6" i="27"/>
  <c r="D91" i="27"/>
  <c r="C91" i="27"/>
  <c r="F92" i="25"/>
  <c r="C92" i="25" l="1"/>
  <c r="C92" i="17" l="1"/>
  <c r="C92" i="16" l="1"/>
</calcChain>
</file>

<file path=xl/sharedStrings.xml><?xml version="1.0" encoding="utf-8"?>
<sst xmlns="http://schemas.openxmlformats.org/spreadsheetml/2006/main" count="507" uniqueCount="206">
  <si>
    <t>Код по ОКТМО</t>
  </si>
  <si>
    <t>Наименование субъекта Российской Федерации 
(муниципального образования)</t>
  </si>
  <si>
    <t>** При недостаточности количества граф для отражения в них всех показателей, используемых для расчета, заполняется раздел 5, предусматривающий возможность отражения неограниченного количества показателей в соответствующем количестве граф</t>
  </si>
  <si>
    <t>* При отсутствии документа, утверждающего методику, указываются наименование проекта нормативного правового акта, дата и номер письма, которым он представлен в Минфин России</t>
  </si>
  <si>
    <t>Всего</t>
  </si>
  <si>
    <t>Нераспределенный резерв***</t>
  </si>
  <si>
    <t>*** При его наличии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</si>
  <si>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</si>
  <si>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</si>
  <si>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</si>
  <si>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</si>
  <si>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</si>
  <si>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</si>
  <si>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</si>
  <si>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</si>
  <si>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</si>
  <si>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</si>
  <si>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</si>
  <si>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</si>
  <si>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</si>
  <si>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</si>
  <si>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</si>
  <si>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</si>
  <si>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</si>
  <si>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</si>
  <si>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</si>
  <si>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</si>
  <si>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</si>
  <si>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</si>
  <si>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</si>
  <si>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</si>
  <si>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</si>
  <si>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</si>
  <si>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</si>
  <si>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</si>
  <si>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</si>
  <si>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</si>
  <si>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</si>
  <si>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</si>
  <si>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</si>
  <si>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</si>
  <si>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</si>
  <si>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</si>
  <si>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</si>
  <si>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</si>
  <si>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</si>
  <si>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</si>
  <si>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</si>
  <si>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</si>
  <si>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</si>
  <si>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</si>
  <si>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</si>
  <si>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</si>
  <si>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</si>
  <si>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</si>
  <si>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</si>
  <si>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</si>
  <si>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</si>
  <si>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</si>
  <si>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</si>
  <si>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</si>
  <si>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</si>
  <si>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</si>
  <si>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</si>
  <si>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</si>
  <si>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</si>
  <si>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</si>
  <si>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</si>
  <si>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</si>
  <si>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</si>
  <si>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</si>
  <si>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</si>
  <si>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</si>
  <si>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</si>
  <si>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</si>
  <si>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</si>
  <si>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</si>
  <si>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</si>
  <si>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</si>
  <si>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</si>
  <si>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</si>
  <si>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</si>
  <si>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</si>
  <si>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</si>
  <si>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город федерального значения Москва</t>
  </si>
  <si>
    <t>город федерального значения  Санкт-Петербург</t>
  </si>
  <si>
    <t>город федерального значения 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</si>
  <si>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</si>
  <si>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</si>
  <si>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</si>
  <si>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</si>
  <si>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</si>
  <si>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-</t>
  </si>
  <si>
    <t>Средний коэффициент сложности актов гражданского состояния и юридически значимых действий, совершаемых органами записи актов гражданского состояния в субъекте Российской Федерации, который определяется  на соответствующий год в порядке, установленном Минюстом России</t>
  </si>
  <si>
    <t>Средний норматив финансовых затрат (в расчете на одно юридически значимое действие) на выполнение федеральных полномочий по государственной регистрации актов гражданского состояния для субъекта Российской Федерации, который определяется на соответствующий год в порядке, установленном  Минюстом России</t>
  </si>
  <si>
    <t>01000000</t>
  </si>
  <si>
    <t>03000000</t>
  </si>
  <si>
    <t>04000000</t>
  </si>
  <si>
    <t>05000000</t>
  </si>
  <si>
    <t>07000000</t>
  </si>
  <si>
    <t>08000000</t>
  </si>
  <si>
    <t>Количество актов гражданского состояния и юридически значимых действий, совершенных органами записи актов гражданского состояния и иными уполномоченными органами в субъекте Российской Федерации за 2015 год</t>
  </si>
  <si>
    <t>Показатели (основные показатели), используемые для расчета субвенции на государственную регистрацию актов гражданского состояния на 2017 год (с указанием наименований и единицы измерения)**</t>
  </si>
  <si>
    <t>Количество  записей актов гражданского состояния, находящихся на хранении в органах записи актов гражданского состояния с 1 января 1926 года по 1 апреля 2015 г.</t>
  </si>
  <si>
    <t>Показатели (основные показатели), используемые для расчета субвенции на государственную регистрацию актов гражданского состояния на 2019 год (с указанием наименований и единицы измерения)**</t>
  </si>
  <si>
    <t>Показатели (основные показатели), используемые для расчета субвенции на государственную регистрацию актов гражданского состояния на 2018 год (с указанием наименований и единицы измерения)**</t>
  </si>
  <si>
    <t xml:space="preserve"> </t>
  </si>
  <si>
    <t>ВСЕГО:</t>
  </si>
  <si>
    <t>Среднее количество актов гражданского состояния и иных юридически значимых действий, совершенных органами записи актов гражданского состояния за 2012-2014 годы (отчетность по приказу Минфина России 13.07.2006 № 93н)</t>
  </si>
  <si>
    <t>Количество актов гражданского состояния и иных юридически значимых действий, совершенных органами записи актов гражданского состояния за 2015 год (отчетность по приказу Минфина России 13.07.2006 № 93н)</t>
  </si>
  <si>
    <t>Количество актов гражданского состояния и иных юридически значимых действий, совершенных органами записи актов гражданского состояния за 2014 год (отчетность по приказу Минфина России 13.07.2006 № 93н)</t>
  </si>
  <si>
    <t>Количество актов гражданского состояния и иных юридически значимых действий, совершенных органами записи актов гражданского состояния за 2013 год (отчетность по приказу Минфина России 13.07.2006 № 93н)</t>
  </si>
  <si>
    <t>Средний коэффициент сложности актов гражданского состояния (приказ Минюста России от 12.10.2009 № 345)</t>
  </si>
  <si>
    <t>Количество актов гражданского состояния и иных юридически значимых действий, совершенных органами записи актов гражданского состояния за 2012-2014 годы (отчетность по приказу Минфина России 13.07.2006 № 93н)</t>
  </si>
  <si>
    <t>Наименование субъекта Российской Федерации</t>
  </si>
  <si>
    <t>№№ пп</t>
  </si>
  <si>
    <t>Расчет среднего норматива финансовых затрат (в расчете на одно юридически значимое действие) согласно приказу Минюста России от 04.03.2014 № 28 на 2017 год</t>
  </si>
  <si>
    <t>Всего:</t>
  </si>
  <si>
    <t xml:space="preserve">Ямало-Ненецкий автономный округ    </t>
  </si>
  <si>
    <t xml:space="preserve">Чукотский автономный округ    </t>
  </si>
  <si>
    <t xml:space="preserve">Ханты-Мансийский автономный округ – Югра   </t>
  </si>
  <si>
    <t xml:space="preserve">Еврейская автономная область  </t>
  </si>
  <si>
    <t>Севастополь</t>
  </si>
  <si>
    <t xml:space="preserve">Санкт-Петербург  </t>
  </si>
  <si>
    <t>Москва</t>
  </si>
  <si>
    <t xml:space="preserve">Ярославская область </t>
  </si>
  <si>
    <t xml:space="preserve">Челябинская область </t>
  </si>
  <si>
    <t xml:space="preserve">Ульяновская область </t>
  </si>
  <si>
    <t xml:space="preserve">Тюменская область   </t>
  </si>
  <si>
    <t xml:space="preserve">Тульская область    </t>
  </si>
  <si>
    <t xml:space="preserve">Томская область     </t>
  </si>
  <si>
    <t xml:space="preserve">Тверская область    </t>
  </si>
  <si>
    <t xml:space="preserve">Тамбовская область  </t>
  </si>
  <si>
    <t xml:space="preserve">Смоленская область  </t>
  </si>
  <si>
    <t xml:space="preserve">Свердловская область            </t>
  </si>
  <si>
    <t xml:space="preserve">Сахалинская область </t>
  </si>
  <si>
    <t xml:space="preserve">Саратовская область </t>
  </si>
  <si>
    <t xml:space="preserve">Самарская область   </t>
  </si>
  <si>
    <t xml:space="preserve">Рязанская область   </t>
  </si>
  <si>
    <t xml:space="preserve">Ростовская область  </t>
  </si>
  <si>
    <t xml:space="preserve">Псковская область   </t>
  </si>
  <si>
    <t xml:space="preserve">Пензенская область  </t>
  </si>
  <si>
    <t xml:space="preserve">Орловская область   </t>
  </si>
  <si>
    <t xml:space="preserve">Оренбургская область             </t>
  </si>
  <si>
    <t xml:space="preserve">Омская область      </t>
  </si>
  <si>
    <t xml:space="preserve">Новосибирская область             </t>
  </si>
  <si>
    <t xml:space="preserve">Новгородская область             </t>
  </si>
  <si>
    <t xml:space="preserve">Нижегородская область             </t>
  </si>
  <si>
    <t xml:space="preserve">Мурманская область  </t>
  </si>
  <si>
    <t xml:space="preserve">Московская область  </t>
  </si>
  <si>
    <t xml:space="preserve">Магаданская область </t>
  </si>
  <si>
    <t xml:space="preserve">Липецкая область    </t>
  </si>
  <si>
    <t xml:space="preserve">Ленинградская область             </t>
  </si>
  <si>
    <t xml:space="preserve">Курская область     </t>
  </si>
  <si>
    <t xml:space="preserve">Курганская область  </t>
  </si>
  <si>
    <t xml:space="preserve">Костромская область </t>
  </si>
  <si>
    <t xml:space="preserve">Кировская область   </t>
  </si>
  <si>
    <t xml:space="preserve">Кемеровская область </t>
  </si>
  <si>
    <t xml:space="preserve">Калужская область   </t>
  </si>
  <si>
    <t xml:space="preserve">Калининградская область             </t>
  </si>
  <si>
    <t xml:space="preserve">Иркутская область   </t>
  </si>
  <si>
    <t xml:space="preserve">Ивановская область  </t>
  </si>
  <si>
    <t xml:space="preserve">Воронежская область </t>
  </si>
  <si>
    <t xml:space="preserve">Вологодская область </t>
  </si>
  <si>
    <t xml:space="preserve">Волгоградская область             </t>
  </si>
  <si>
    <t xml:space="preserve">Владимирская область             </t>
  </si>
  <si>
    <t xml:space="preserve">Брянская область    </t>
  </si>
  <si>
    <t xml:space="preserve">Белгородская область             </t>
  </si>
  <si>
    <t xml:space="preserve">Астраханская область             </t>
  </si>
  <si>
    <t xml:space="preserve">Архангельская область         </t>
  </si>
  <si>
    <t xml:space="preserve">Амурская область    </t>
  </si>
  <si>
    <t xml:space="preserve">Хабаровский край    </t>
  </si>
  <si>
    <t xml:space="preserve">Ставропольский край </t>
  </si>
  <si>
    <t xml:space="preserve">Приморский край     </t>
  </si>
  <si>
    <t xml:space="preserve">Пермский край       </t>
  </si>
  <si>
    <t xml:space="preserve">Красноярский край   </t>
  </si>
  <si>
    <t xml:space="preserve">Краснодарский край  </t>
  </si>
  <si>
    <t xml:space="preserve">Камчатский край     </t>
  </si>
  <si>
    <t xml:space="preserve">Забайкальский край  </t>
  </si>
  <si>
    <t xml:space="preserve">Алтайский край      </t>
  </si>
  <si>
    <t xml:space="preserve">Чувашская Республика – Чувашия    </t>
  </si>
  <si>
    <t xml:space="preserve">Чеченская Республика          </t>
  </si>
  <si>
    <t xml:space="preserve">Республика Хакасия  </t>
  </si>
  <si>
    <t xml:space="preserve">Удмуртская Республика          </t>
  </si>
  <si>
    <t xml:space="preserve">Республика Тыва     </t>
  </si>
  <si>
    <t xml:space="preserve">Республика Татарстан (Татарстан)        </t>
  </si>
  <si>
    <t>Республика Северная Осетия – Алания</t>
  </si>
  <si>
    <t xml:space="preserve">Республика Мордовия </t>
  </si>
  <si>
    <t xml:space="preserve">Республика Марий Эл </t>
  </si>
  <si>
    <t xml:space="preserve">Республика Коми     </t>
  </si>
  <si>
    <t xml:space="preserve">Республика Карелия  </t>
  </si>
  <si>
    <t xml:space="preserve">Карачаево-Черкесская Республика          </t>
  </si>
  <si>
    <t xml:space="preserve">Республика Калмыкия </t>
  </si>
  <si>
    <t xml:space="preserve">Кабардино-Балкарская Республика          </t>
  </si>
  <si>
    <t xml:space="preserve">Республика Ингушетия           </t>
  </si>
  <si>
    <t xml:space="preserve">Республика Дагестан </t>
  </si>
  <si>
    <t xml:space="preserve">Республика Бурятия  </t>
  </si>
  <si>
    <t xml:space="preserve">Республика Башкортостан        </t>
  </si>
  <si>
    <t xml:space="preserve">Республика Алтай    </t>
  </si>
  <si>
    <t>Информация которых не переведена в электронный вид</t>
  </si>
  <si>
    <t>Информация которых переведена в электронный вид (полностью или частично)</t>
  </si>
  <si>
    <t>в том числе</t>
  </si>
  <si>
    <t xml:space="preserve">№
п/п
</t>
  </si>
  <si>
    <t xml:space="preserve"> 1. Показатели, используемые для расчета субвенции на государственную регистрацию актов гражданского состояния на 2017 год</t>
  </si>
  <si>
    <t xml:space="preserve"> 2. Показатели, используемые для расчета субвенции на государственную регистрацию актов гражданского состояния на 2018 год </t>
  </si>
  <si>
    <t xml:space="preserve">3. Показатели, используемые для расчета субвенции на государственную регистрацию актов гражданского состояния на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</si>
</sst>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sz val="16"/>
      <name val="Arial Cyr"/>
      <family val="2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3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 applyProtection="1">
      <alignment horizontal="right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3" fontId="3" fillId="0" borderId="18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3" fontId="3" fillId="0" borderId="21" xfId="0" applyNumberFormat="1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4" fontId="8" fillId="0" borderId="23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2" applyFill="1"/>
    <xf numFmtId="0" fontId="1" fillId="0" borderId="0" xfId="2" applyFill="1" applyAlignment="1">
      <alignment horizontal="center"/>
    </xf>
    <xf numFmtId="0" fontId="9" fillId="0" borderId="0" xfId="2" applyNumberFormat="1" applyFont="1" applyFill="1" applyBorder="1" applyAlignment="1" applyProtection="1">
      <alignment horizontal="left" wrapText="1"/>
    </xf>
    <xf numFmtId="0" fontId="1" fillId="0" borderId="0" xfId="2" applyFill="1" applyBorder="1" applyAlignment="1">
      <alignment horizontal="center"/>
    </xf>
    <xf numFmtId="0" fontId="1" fillId="0" borderId="0" xfId="2" applyFill="1" applyBorder="1"/>
    <xf numFmtId="0" fontId="11" fillId="0" borderId="0" xfId="2" applyFont="1" applyFill="1"/>
    <xf numFmtId="0" fontId="11" fillId="0" borderId="0" xfId="2" applyFont="1" applyFill="1" applyAlignment="1">
      <alignment horizontal="center"/>
    </xf>
    <xf numFmtId="4" fontId="9" fillId="0" borderId="0" xfId="2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0" fontId="13" fillId="0" borderId="0" xfId="2" applyFont="1" applyFill="1"/>
    <xf numFmtId="164" fontId="4" fillId="0" borderId="0" xfId="2" applyNumberFormat="1" applyFont="1" applyFill="1" applyBorder="1" applyAlignment="1">
      <alignment horizontal="center"/>
    </xf>
    <xf numFmtId="0" fontId="14" fillId="0" borderId="0" xfId="2" applyNumberFormat="1" applyFont="1" applyFill="1" applyBorder="1" applyAlignment="1" applyProtection="1">
      <alignment horizontal="left" wrapText="1"/>
    </xf>
    <xf numFmtId="0" fontId="13" fillId="0" borderId="0" xfId="2" applyFont="1" applyFill="1" applyAlignment="1">
      <alignment horizontal="center"/>
    </xf>
    <xf numFmtId="0" fontId="15" fillId="0" borderId="0" xfId="2" applyFont="1" applyFill="1"/>
    <xf numFmtId="164" fontId="16" fillId="0" borderId="0" xfId="2" applyNumberFormat="1" applyFont="1" applyFill="1" applyBorder="1" applyAlignment="1">
      <alignment horizontal="center"/>
    </xf>
    <xf numFmtId="0" fontId="15" fillId="0" borderId="0" xfId="2" applyFont="1" applyFill="1" applyAlignment="1">
      <alignment horizontal="center"/>
    </xf>
    <xf numFmtId="3" fontId="15" fillId="0" borderId="0" xfId="2" applyNumberFormat="1" applyFont="1" applyFill="1" applyBorder="1"/>
    <xf numFmtId="0" fontId="16" fillId="0" borderId="0" xfId="2" applyNumberFormat="1" applyFont="1" applyFill="1" applyBorder="1" applyAlignment="1" applyProtection="1">
      <alignment horizontal="left" wrapText="1"/>
    </xf>
    <xf numFmtId="0" fontId="15" fillId="0" borderId="0" xfId="2" applyFont="1" applyFill="1" applyBorder="1" applyAlignment="1">
      <alignment horizontal="center"/>
    </xf>
    <xf numFmtId="0" fontId="15" fillId="0" borderId="0" xfId="2" applyFont="1" applyFill="1" applyBorder="1"/>
    <xf numFmtId="2" fontId="14" fillId="0" borderId="1" xfId="2" applyNumberFormat="1" applyFont="1" applyFill="1" applyBorder="1" applyAlignment="1">
      <alignment horizontal="center"/>
    </xf>
    <xf numFmtId="3" fontId="14" fillId="0" borderId="1" xfId="2" applyNumberFormat="1" applyFont="1" applyFill="1" applyBorder="1" applyAlignment="1">
      <alignment horizontal="center"/>
    </xf>
    <xf numFmtId="0" fontId="4" fillId="0" borderId="1" xfId="2" applyNumberFormat="1" applyFont="1" applyFill="1" applyBorder="1" applyAlignment="1" applyProtection="1">
      <alignment horizontal="center" wrapText="1"/>
    </xf>
    <xf numFmtId="0" fontId="13" fillId="0" borderId="1" xfId="2" applyFont="1" applyFill="1" applyBorder="1" applyAlignment="1">
      <alignment horizontal="center"/>
    </xf>
    <xf numFmtId="2" fontId="9" fillId="0" borderId="16" xfId="2" applyNumberFormat="1" applyFont="1" applyFill="1" applyBorder="1" applyAlignment="1">
      <alignment horizontal="center" vertical="center" wrapText="1"/>
    </xf>
    <xf numFmtId="2" fontId="9" fillId="0" borderId="14" xfId="2" applyNumberFormat="1" applyFont="1" applyFill="1" applyBorder="1" applyAlignment="1" applyProtection="1">
      <alignment horizontal="center" vertical="center" wrapText="1"/>
    </xf>
    <xf numFmtId="3" fontId="9" fillId="0" borderId="14" xfId="2" applyNumberFormat="1" applyFont="1" applyFill="1" applyBorder="1" applyAlignment="1" applyProtection="1">
      <alignment horizontal="center" vertical="center" wrapText="1"/>
    </xf>
    <xf numFmtId="0" fontId="18" fillId="0" borderId="1" xfId="2" applyFont="1" applyFill="1" applyBorder="1" applyAlignment="1">
      <alignment horizontal="left" vertical="center" wrapText="1"/>
    </xf>
    <xf numFmtId="0" fontId="1" fillId="0" borderId="27" xfId="2" applyFill="1" applyBorder="1" applyAlignment="1">
      <alignment horizontal="center"/>
    </xf>
    <xf numFmtId="2" fontId="9" fillId="0" borderId="16" xfId="2" applyNumberFormat="1" applyFont="1" applyFill="1" applyBorder="1" applyAlignment="1" applyProtection="1">
      <alignment horizontal="center" vertical="center" wrapText="1"/>
    </xf>
    <xf numFmtId="3" fontId="9" fillId="0" borderId="16" xfId="2" applyNumberFormat="1" applyFont="1" applyFill="1" applyBorder="1" applyAlignment="1" applyProtection="1">
      <alignment horizontal="center" vertical="center" wrapText="1"/>
    </xf>
    <xf numFmtId="0" fontId="1" fillId="0" borderId="1" xfId="2" applyFill="1" applyBorder="1" applyAlignment="1">
      <alignment horizontal="center"/>
    </xf>
    <xf numFmtId="3" fontId="9" fillId="0" borderId="16" xfId="2" applyNumberFormat="1" applyFont="1" applyFill="1" applyBorder="1" applyAlignment="1">
      <alignment horizontal="center" vertical="center" wrapText="1"/>
    </xf>
    <xf numFmtId="2" fontId="9" fillId="0" borderId="15" xfId="2" applyNumberFormat="1" applyFont="1" applyFill="1" applyBorder="1" applyAlignment="1">
      <alignment horizontal="center" vertical="center" wrapText="1"/>
    </xf>
    <xf numFmtId="0" fontId="18" fillId="0" borderId="18" xfId="2" applyFont="1" applyFill="1" applyBorder="1" applyAlignment="1">
      <alignment horizontal="left" vertical="center"/>
    </xf>
    <xf numFmtId="0" fontId="19" fillId="0" borderId="0" xfId="2" applyFont="1" applyFill="1"/>
    <xf numFmtId="0" fontId="9" fillId="0" borderId="16" xfId="2" applyFont="1" applyFill="1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1" fillId="0" borderId="0" xfId="2" applyFill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3" fontId="8" fillId="0" borderId="0" xfId="0" applyNumberFormat="1" applyFont="1"/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3" fontId="0" fillId="0" borderId="0" xfId="0" applyNumberForma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/>
    </xf>
    <xf numFmtId="0" fontId="18" fillId="0" borderId="27" xfId="2" applyFont="1" applyFill="1" applyBorder="1" applyAlignment="1">
      <alignment horizontal="left" vertical="center" wrapText="1"/>
    </xf>
    <xf numFmtId="3" fontId="9" fillId="0" borderId="1" xfId="2" applyNumberFormat="1" applyFont="1" applyFill="1" applyBorder="1" applyAlignment="1" applyProtection="1">
      <alignment horizontal="center" vertical="center" wrapText="1"/>
    </xf>
    <xf numFmtId="2" fontId="9" fillId="0" borderId="1" xfId="2" applyNumberFormat="1" applyFont="1" applyFill="1" applyBorder="1" applyAlignment="1" applyProtection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/>
    </xf>
    <xf numFmtId="0" fontId="10" fillId="0" borderId="0" xfId="2" applyNumberFormat="1" applyFont="1" applyFill="1" applyBorder="1" applyAlignment="1" applyProtection="1">
      <alignment horizontal="left" wrapText="1"/>
    </xf>
    <xf numFmtId="49" fontId="4" fillId="0" borderId="25" xfId="2" applyNumberFormat="1" applyFont="1" applyFill="1" applyBorder="1" applyAlignment="1" applyProtection="1">
      <alignment vertical="center" wrapText="1"/>
    </xf>
    <xf numFmtId="49" fontId="1" fillId="0" borderId="0" xfId="2" applyNumberFormat="1" applyFill="1" applyBorder="1" applyAlignment="1">
      <alignment vertical="center" wrapText="1"/>
    </xf>
    <xf numFmtId="49" fontId="1" fillId="0" borderId="5" xfId="2" applyNumberFormat="1" applyFill="1" applyBorder="1" applyAlignment="1">
      <alignment vertical="center" wrapText="1"/>
    </xf>
    <xf numFmtId="0" fontId="16" fillId="0" borderId="0" xfId="2" applyNumberFormat="1" applyFont="1" applyFill="1" applyBorder="1" applyAlignment="1" applyProtection="1">
      <alignment horizontal="left" wrapText="1"/>
    </xf>
    <xf numFmtId="0" fontId="12" fillId="0" borderId="0" xfId="2" applyNumberFormat="1" applyFont="1" applyFill="1" applyBorder="1" applyAlignment="1" applyProtection="1">
      <alignment horizontal="left" wrapText="1"/>
    </xf>
    <xf numFmtId="0" fontId="16" fillId="0" borderId="0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textRotation="90"/>
    </xf>
    <xf numFmtId="0" fontId="14" fillId="0" borderId="28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14" fillId="0" borderId="31" xfId="2" applyFont="1" applyFill="1" applyBorder="1" applyAlignment="1">
      <alignment horizontal="center" vertical="center" wrapText="1"/>
    </xf>
    <xf numFmtId="0" fontId="14" fillId="0" borderId="30" xfId="2" applyFont="1" applyFill="1" applyBorder="1" applyAlignment="1">
      <alignment horizontal="center" vertical="center" wrapText="1"/>
    </xf>
    <xf numFmtId="0" fontId="14" fillId="0" borderId="29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textRotation="90" wrapText="1"/>
    </xf>
    <xf numFmtId="0" fontId="9" fillId="0" borderId="2" xfId="2" applyFont="1" applyFill="1" applyBorder="1" applyAlignment="1">
      <alignment horizontal="center" vertical="center" textRotation="90" wrapText="1"/>
    </xf>
    <xf numFmtId="0" fontId="9" fillId="0" borderId="18" xfId="2" applyFont="1" applyFill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/>
    <xf numFmtId="0" fontId="17" fillId="0" borderId="1" xfId="0" applyFont="1" applyBorder="1" applyAlignment="1">
      <alignment horizontal="center" wrapText="1"/>
    </xf>
    <xf numFmtId="0" fontId="4" fillId="0" borderId="2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showGridLines="0" view="pageBreakPreview" zoomScale="90" zoomScaleNormal="100" zoomScaleSheetLayoutView="90" workbookViewId="0">
      <selection activeCell="I3" sqref="I3"/>
    </sheetView>
  </sheetViews>
  <sheetFormatPr defaultRowHeight="12.75" x14ac:dyDescent="0.2"/>
  <cols>
    <col min="1" max="1" width="27.42578125" style="1" customWidth="1"/>
    <col min="2" max="2" width="11.5703125" style="1" customWidth="1"/>
    <col min="3" max="3" width="14.7109375" style="1" customWidth="1"/>
    <col min="4" max="4" width="17.7109375" style="1" customWidth="1"/>
    <col min="5" max="5" width="18.42578125" style="1" customWidth="1"/>
    <col min="6" max="16384" width="9.140625" style="1"/>
  </cols>
  <sheetData>
    <row r="1" spans="1:6" s="4" customFormat="1" ht="30.75" customHeight="1" thickBot="1" x14ac:dyDescent="0.25">
      <c r="A1" s="108" t="s">
        <v>203</v>
      </c>
      <c r="B1" s="108"/>
      <c r="C1" s="108"/>
      <c r="D1" s="108"/>
      <c r="E1" s="108"/>
    </row>
    <row r="2" spans="1:6" s="5" customFormat="1" ht="12.75" customHeight="1" x14ac:dyDescent="0.2">
      <c r="A2" s="109" t="s">
        <v>1</v>
      </c>
      <c r="B2" s="112" t="s">
        <v>0</v>
      </c>
      <c r="C2" s="115" t="s">
        <v>102</v>
      </c>
      <c r="D2" s="116"/>
      <c r="E2" s="116"/>
    </row>
    <row r="3" spans="1:6" s="5" customFormat="1" ht="143.25" customHeight="1" x14ac:dyDescent="0.2">
      <c r="A3" s="110"/>
      <c r="B3" s="113"/>
      <c r="C3" s="117"/>
      <c r="D3" s="118"/>
      <c r="E3" s="118"/>
    </row>
    <row r="4" spans="1:6" s="5" customFormat="1" ht="222.75" customHeight="1" thickBot="1" x14ac:dyDescent="0.25">
      <c r="A4" s="111"/>
      <c r="B4" s="114"/>
      <c r="C4" s="31" t="s">
        <v>101</v>
      </c>
      <c r="D4" s="31" t="s">
        <v>93</v>
      </c>
      <c r="E4" s="31" t="s">
        <v>94</v>
      </c>
    </row>
    <row r="5" spans="1:6" s="9" customFormat="1" ht="13.5" thickBot="1" x14ac:dyDescent="0.25">
      <c r="A5" s="6">
        <v>1</v>
      </c>
      <c r="B5" s="44">
        <v>2</v>
      </c>
      <c r="C5" s="7">
        <v>3</v>
      </c>
      <c r="D5" s="7">
        <v>4</v>
      </c>
      <c r="E5" s="8">
        <v>5</v>
      </c>
    </row>
    <row r="6" spans="1:6" s="9" customFormat="1" ht="15" x14ac:dyDescent="0.2">
      <c r="A6" s="32" t="s">
        <v>7</v>
      </c>
      <c r="B6" s="42">
        <v>79000000</v>
      </c>
      <c r="C6" s="30">
        <v>37136</v>
      </c>
      <c r="D6" s="24">
        <v>6.04</v>
      </c>
      <c r="E6" s="36">
        <v>84.473709671683523</v>
      </c>
      <c r="F6" s="9">
        <v>1406916</v>
      </c>
    </row>
    <row r="7" spans="1:6" s="9" customFormat="1" ht="15" x14ac:dyDescent="0.2">
      <c r="A7" s="33" t="s">
        <v>8</v>
      </c>
      <c r="B7" s="43">
        <v>84000000</v>
      </c>
      <c r="C7" s="22">
        <v>26957</v>
      </c>
      <c r="D7" s="25">
        <v>6.19</v>
      </c>
      <c r="E7" s="35">
        <v>109.90378228766238</v>
      </c>
      <c r="F7" s="9">
        <v>776788</v>
      </c>
    </row>
    <row r="8" spans="1:6" s="9" customFormat="1" ht="15" x14ac:dyDescent="0.2">
      <c r="A8" s="33" t="s">
        <v>9</v>
      </c>
      <c r="B8" s="43">
        <v>80000000</v>
      </c>
      <c r="C8" s="22">
        <v>376135</v>
      </c>
      <c r="D8" s="25">
        <v>6.14</v>
      </c>
      <c r="E8" s="35">
        <v>75.683979394503226</v>
      </c>
      <c r="F8" s="9">
        <v>15087999</v>
      </c>
    </row>
    <row r="9" spans="1:6" s="9" customFormat="1" ht="15" x14ac:dyDescent="0.2">
      <c r="A9" s="33" t="s">
        <v>10</v>
      </c>
      <c r="B9" s="43">
        <v>81000000</v>
      </c>
      <c r="C9" s="22">
        <v>100273</v>
      </c>
      <c r="D9" s="25">
        <v>6.15</v>
      </c>
      <c r="E9" s="35">
        <v>106.92397086491867</v>
      </c>
      <c r="F9" s="9">
        <v>3356845</v>
      </c>
    </row>
    <row r="10" spans="1:6" s="9" customFormat="1" ht="15" x14ac:dyDescent="0.2">
      <c r="A10" s="33" t="s">
        <v>11</v>
      </c>
      <c r="B10" s="43">
        <v>82000000</v>
      </c>
      <c r="C10" s="22">
        <v>170044</v>
      </c>
      <c r="D10" s="25">
        <v>6.01</v>
      </c>
      <c r="E10" s="35">
        <v>71.04061109333017</v>
      </c>
      <c r="F10" s="9">
        <v>6208617</v>
      </c>
    </row>
    <row r="11" spans="1:6" s="9" customFormat="1" ht="15" x14ac:dyDescent="0.2">
      <c r="A11" s="33" t="s">
        <v>12</v>
      </c>
      <c r="B11" s="43">
        <v>26000000</v>
      </c>
      <c r="C11" s="22">
        <v>30839</v>
      </c>
      <c r="D11" s="25">
        <v>6.39</v>
      </c>
      <c r="E11" s="35">
        <v>93.825357303228529</v>
      </c>
      <c r="F11" s="9">
        <v>710674</v>
      </c>
    </row>
    <row r="12" spans="1:6" s="9" customFormat="1" ht="25.5" x14ac:dyDescent="0.2">
      <c r="A12" s="33" t="s">
        <v>13</v>
      </c>
      <c r="B12" s="43">
        <v>83000000</v>
      </c>
      <c r="C12" s="22">
        <v>153184</v>
      </c>
      <c r="D12" s="25">
        <v>5.63</v>
      </c>
      <c r="E12" s="35">
        <v>62.059279322801544</v>
      </c>
      <c r="F12" s="9">
        <v>3371141</v>
      </c>
    </row>
    <row r="13" spans="1:6" s="9" customFormat="1" ht="15" x14ac:dyDescent="0.2">
      <c r="A13" s="33" t="s">
        <v>14</v>
      </c>
      <c r="B13" s="43">
        <v>85000000</v>
      </c>
      <c r="C13" s="22">
        <v>25564</v>
      </c>
      <c r="D13" s="25">
        <v>6.18</v>
      </c>
      <c r="E13" s="35">
        <v>81.051159713065573</v>
      </c>
      <c r="F13" s="9">
        <v>872922</v>
      </c>
    </row>
    <row r="14" spans="1:6" s="9" customFormat="1" ht="25.5" x14ac:dyDescent="0.2">
      <c r="A14" s="33" t="s">
        <v>15</v>
      </c>
      <c r="B14" s="43">
        <v>91000000</v>
      </c>
      <c r="C14" s="22">
        <v>40560</v>
      </c>
      <c r="D14" s="25">
        <v>6.35</v>
      </c>
      <c r="E14" s="35">
        <v>75.706192015199875</v>
      </c>
      <c r="F14" s="9">
        <v>1176384</v>
      </c>
    </row>
    <row r="15" spans="1:6" s="9" customFormat="1" ht="15" x14ac:dyDescent="0.2">
      <c r="A15" s="33" t="s">
        <v>16</v>
      </c>
      <c r="B15" s="43">
        <v>86000000</v>
      </c>
      <c r="C15" s="22">
        <v>63828</v>
      </c>
      <c r="D15" s="25">
        <v>5.96</v>
      </c>
      <c r="E15" s="35">
        <v>128.58294035208806</v>
      </c>
      <c r="F15" s="9">
        <v>2726747</v>
      </c>
    </row>
    <row r="16" spans="1:6" s="9" customFormat="1" ht="15" x14ac:dyDescent="0.2">
      <c r="A16" s="33" t="s">
        <v>17</v>
      </c>
      <c r="B16" s="43">
        <v>87000000</v>
      </c>
      <c r="C16" s="22">
        <v>86815</v>
      </c>
      <c r="D16" s="25">
        <v>5.85</v>
      </c>
      <c r="E16" s="35">
        <v>137.05656082086733</v>
      </c>
      <c r="F16" s="9">
        <v>3516074</v>
      </c>
    </row>
    <row r="17" spans="1:6" s="9" customFormat="1" ht="15" x14ac:dyDescent="0.2">
      <c r="A17" s="33" t="s">
        <v>18</v>
      </c>
      <c r="B17" s="46">
        <v>35000000</v>
      </c>
      <c r="C17" s="23">
        <v>263867</v>
      </c>
      <c r="D17" s="26">
        <v>6.38</v>
      </c>
      <c r="E17" s="37">
        <v>94.86</v>
      </c>
      <c r="F17" s="9">
        <v>5111525</v>
      </c>
    </row>
    <row r="18" spans="1:6" s="9" customFormat="1" ht="15" x14ac:dyDescent="0.2">
      <c r="A18" s="33" t="s">
        <v>19</v>
      </c>
      <c r="B18" s="43">
        <v>88000000</v>
      </c>
      <c r="C18" s="22">
        <v>95037</v>
      </c>
      <c r="D18" s="25">
        <v>5.95</v>
      </c>
      <c r="E18" s="35">
        <v>62.85199776643244</v>
      </c>
      <c r="F18" s="9">
        <v>2725704</v>
      </c>
    </row>
    <row r="19" spans="1:6" s="9" customFormat="1" ht="15" x14ac:dyDescent="0.2">
      <c r="A19" s="33" t="s">
        <v>20</v>
      </c>
      <c r="B19" s="43">
        <v>89000000</v>
      </c>
      <c r="C19" s="22">
        <v>125810</v>
      </c>
      <c r="D19" s="25">
        <v>6.13</v>
      </c>
      <c r="E19" s="35">
        <v>78.010616596528777</v>
      </c>
      <c r="F19" s="9">
        <v>4369104</v>
      </c>
    </row>
    <row r="20" spans="1:6" s="9" customFormat="1" ht="15" x14ac:dyDescent="0.2">
      <c r="A20" s="33" t="s">
        <v>21</v>
      </c>
      <c r="B20" s="43">
        <v>98000000</v>
      </c>
      <c r="C20" s="22">
        <v>99417</v>
      </c>
      <c r="D20" s="25">
        <v>6.19</v>
      </c>
      <c r="E20" s="35">
        <v>149.56131390408558</v>
      </c>
      <c r="F20" s="9">
        <v>2907002</v>
      </c>
    </row>
    <row r="21" spans="1:6" s="9" customFormat="1" ht="25.5" x14ac:dyDescent="0.2">
      <c r="A21" s="33" t="s">
        <v>22</v>
      </c>
      <c r="B21" s="43">
        <v>90000000</v>
      </c>
      <c r="C21" s="22">
        <v>42639</v>
      </c>
      <c r="D21" s="25">
        <v>6.23</v>
      </c>
      <c r="E21" s="35">
        <v>70.00685951973206</v>
      </c>
      <c r="F21" s="9">
        <v>1976477</v>
      </c>
    </row>
    <row r="22" spans="1:6" s="9" customFormat="1" ht="25.5" x14ac:dyDescent="0.2">
      <c r="A22" s="33" t="s">
        <v>23</v>
      </c>
      <c r="B22" s="43">
        <v>92000000</v>
      </c>
      <c r="C22" s="22">
        <v>389029</v>
      </c>
      <c r="D22" s="25">
        <v>6.03</v>
      </c>
      <c r="E22" s="35">
        <v>62.999121538477006</v>
      </c>
      <c r="F22" s="9">
        <v>12889431</v>
      </c>
    </row>
    <row r="23" spans="1:6" s="9" customFormat="1" ht="15" x14ac:dyDescent="0.2">
      <c r="A23" s="33" t="s">
        <v>24</v>
      </c>
      <c r="B23" s="43">
        <v>93000000</v>
      </c>
      <c r="C23" s="22">
        <v>41790</v>
      </c>
      <c r="D23" s="25">
        <v>5.96</v>
      </c>
      <c r="E23" s="35">
        <v>117.56344022252732</v>
      </c>
      <c r="F23" s="9">
        <v>1065428</v>
      </c>
    </row>
    <row r="24" spans="1:6" s="9" customFormat="1" ht="15" x14ac:dyDescent="0.2">
      <c r="A24" s="33" t="s">
        <v>25</v>
      </c>
      <c r="B24" s="43">
        <v>94000000</v>
      </c>
      <c r="C24" s="22">
        <v>145242</v>
      </c>
      <c r="D24" s="25">
        <v>6.04</v>
      </c>
      <c r="E24" s="35">
        <v>85.775207185694256</v>
      </c>
      <c r="F24" s="9">
        <v>6218275</v>
      </c>
    </row>
    <row r="25" spans="1:6" s="9" customFormat="1" ht="15" x14ac:dyDescent="0.2">
      <c r="A25" s="33" t="s">
        <v>26</v>
      </c>
      <c r="B25" s="43">
        <v>95000000</v>
      </c>
      <c r="C25" s="22">
        <v>57212</v>
      </c>
      <c r="D25" s="25">
        <v>6.22</v>
      </c>
      <c r="E25" s="35">
        <v>100.11290367276284</v>
      </c>
      <c r="F25" s="9">
        <v>1757920</v>
      </c>
    </row>
    <row r="26" spans="1:6" s="9" customFormat="1" ht="15" x14ac:dyDescent="0.2">
      <c r="A26" s="33" t="s">
        <v>27</v>
      </c>
      <c r="B26" s="43">
        <v>96000000</v>
      </c>
      <c r="C26" s="22">
        <v>107049</v>
      </c>
      <c r="D26" s="25">
        <v>6.18</v>
      </c>
      <c r="E26" s="35">
        <v>81.682004464515614</v>
      </c>
      <c r="F26" s="9">
        <v>2668885</v>
      </c>
    </row>
    <row r="27" spans="1:6" s="9" customFormat="1" ht="25.5" x14ac:dyDescent="0.2">
      <c r="A27" s="33" t="s">
        <v>28</v>
      </c>
      <c r="B27" s="43">
        <v>97000000</v>
      </c>
      <c r="C27" s="22">
        <v>123439</v>
      </c>
      <c r="D27" s="25">
        <v>6.08</v>
      </c>
      <c r="E27" s="35">
        <v>68.969831290569147</v>
      </c>
      <c r="F27" s="9">
        <v>5085574</v>
      </c>
    </row>
    <row r="28" spans="1:6" s="9" customFormat="1" ht="15" x14ac:dyDescent="0.2">
      <c r="A28" s="33" t="s">
        <v>29</v>
      </c>
      <c r="B28" s="34" t="s">
        <v>95</v>
      </c>
      <c r="C28" s="22">
        <v>236292</v>
      </c>
      <c r="D28" s="25">
        <v>6.09</v>
      </c>
      <c r="E28" s="35">
        <v>92.146520990461298</v>
      </c>
      <c r="F28" s="9">
        <v>10638747</v>
      </c>
    </row>
    <row r="29" spans="1:6" s="9" customFormat="1" ht="15" x14ac:dyDescent="0.2">
      <c r="A29" s="33" t="s">
        <v>30</v>
      </c>
      <c r="B29" s="43">
        <v>76000000</v>
      </c>
      <c r="C29" s="23">
        <v>129525</v>
      </c>
      <c r="D29" s="26">
        <v>6.12</v>
      </c>
      <c r="E29" s="35">
        <v>102.49484925643752</v>
      </c>
      <c r="F29" s="9">
        <v>4571334</v>
      </c>
    </row>
    <row r="30" spans="1:6" s="9" customFormat="1" ht="15" x14ac:dyDescent="0.2">
      <c r="A30" s="33" t="s">
        <v>31</v>
      </c>
      <c r="B30" s="43">
        <v>30000000</v>
      </c>
      <c r="C30" s="23">
        <v>33840</v>
      </c>
      <c r="D30" s="26">
        <v>6.18</v>
      </c>
      <c r="E30" s="35">
        <v>164.79778701004059</v>
      </c>
      <c r="F30" s="9">
        <v>1267380</v>
      </c>
    </row>
    <row r="31" spans="1:6" s="9" customFormat="1" ht="15" x14ac:dyDescent="0.2">
      <c r="A31" s="33" t="s">
        <v>32</v>
      </c>
      <c r="B31" s="34" t="s">
        <v>96</v>
      </c>
      <c r="C31" s="23">
        <v>487005</v>
      </c>
      <c r="D31" s="26">
        <v>6.09</v>
      </c>
      <c r="E31" s="35">
        <v>77.974393467246969</v>
      </c>
      <c r="F31" s="9">
        <v>16843339</v>
      </c>
    </row>
    <row r="32" spans="1:6" s="9" customFormat="1" ht="15" x14ac:dyDescent="0.2">
      <c r="A32" s="33" t="s">
        <v>33</v>
      </c>
      <c r="B32" s="34" t="s">
        <v>97</v>
      </c>
      <c r="C32" s="23">
        <v>269209</v>
      </c>
      <c r="D32" s="26">
        <v>6.11</v>
      </c>
      <c r="E32" s="35">
        <v>99.25940760720151</v>
      </c>
      <c r="F32" s="9">
        <v>10190890</v>
      </c>
    </row>
    <row r="33" spans="1:6" s="9" customFormat="1" ht="15" x14ac:dyDescent="0.2">
      <c r="A33" s="33" t="s">
        <v>34</v>
      </c>
      <c r="B33" s="43">
        <v>57000000</v>
      </c>
      <c r="C33" s="23">
        <v>293196</v>
      </c>
      <c r="D33" s="26">
        <v>6.05</v>
      </c>
      <c r="E33" s="35">
        <v>82.240336486313055</v>
      </c>
      <c r="F33" s="9">
        <v>12357484</v>
      </c>
    </row>
    <row r="34" spans="1:6" s="9" customFormat="1" ht="15" x14ac:dyDescent="0.2">
      <c r="A34" s="33" t="s">
        <v>35</v>
      </c>
      <c r="B34" s="34" t="s">
        <v>98</v>
      </c>
      <c r="C34" s="23">
        <v>220470</v>
      </c>
      <c r="D34" s="26">
        <v>6.07</v>
      </c>
      <c r="E34" s="35">
        <v>98.780767289656154</v>
      </c>
      <c r="F34" s="9">
        <v>6746386</v>
      </c>
    </row>
    <row r="35" spans="1:6" s="9" customFormat="1" ht="15" x14ac:dyDescent="0.2">
      <c r="A35" s="33" t="s">
        <v>36</v>
      </c>
      <c r="B35" s="34" t="s">
        <v>99</v>
      </c>
      <c r="C35" s="23">
        <v>234259</v>
      </c>
      <c r="D35" s="26">
        <v>6.05</v>
      </c>
      <c r="E35" s="35">
        <v>80.722346414266951</v>
      </c>
      <c r="F35" s="9">
        <v>7773610</v>
      </c>
    </row>
    <row r="36" spans="1:6" s="9" customFormat="1" ht="15" x14ac:dyDescent="0.2">
      <c r="A36" s="33" t="s">
        <v>37</v>
      </c>
      <c r="B36" s="34" t="s">
        <v>100</v>
      </c>
      <c r="C36" s="23">
        <v>146878</v>
      </c>
      <c r="D36" s="26">
        <v>6.12</v>
      </c>
      <c r="E36" s="35">
        <v>110.21912200192321</v>
      </c>
      <c r="F36" s="9">
        <v>4679038</v>
      </c>
    </row>
    <row r="37" spans="1:6" s="9" customFormat="1" ht="15" x14ac:dyDescent="0.2">
      <c r="A37" s="33" t="s">
        <v>38</v>
      </c>
      <c r="B37" s="43">
        <v>10000000</v>
      </c>
      <c r="C37" s="23">
        <v>82491</v>
      </c>
      <c r="D37" s="26">
        <v>6</v>
      </c>
      <c r="E37" s="35">
        <v>136.20424783432395</v>
      </c>
      <c r="F37" s="9">
        <v>4061322</v>
      </c>
    </row>
    <row r="38" spans="1:6" s="9" customFormat="1" ht="15" x14ac:dyDescent="0.2">
      <c r="A38" s="33" t="s">
        <v>39</v>
      </c>
      <c r="B38" s="43">
        <v>11000000</v>
      </c>
      <c r="C38" s="23">
        <v>109897</v>
      </c>
      <c r="D38" s="26">
        <v>6.04</v>
      </c>
      <c r="E38" s="35">
        <v>110.3548212896137</v>
      </c>
      <c r="F38" s="9">
        <v>5508638</v>
      </c>
    </row>
    <row r="39" spans="1:6" s="9" customFormat="1" ht="15" x14ac:dyDescent="0.2">
      <c r="A39" s="33" t="s">
        <v>40</v>
      </c>
      <c r="B39" s="43">
        <v>12000000</v>
      </c>
      <c r="C39" s="23">
        <v>94690</v>
      </c>
      <c r="D39" s="26">
        <v>6.01</v>
      </c>
      <c r="E39" s="35">
        <v>81.967613857435794</v>
      </c>
      <c r="F39" s="9">
        <v>3601640</v>
      </c>
    </row>
    <row r="40" spans="1:6" s="9" customFormat="1" ht="15" x14ac:dyDescent="0.2">
      <c r="A40" s="33" t="s">
        <v>41</v>
      </c>
      <c r="B40" s="43">
        <v>14000000</v>
      </c>
      <c r="C40" s="23">
        <v>131140</v>
      </c>
      <c r="D40" s="26">
        <v>5.96</v>
      </c>
      <c r="E40" s="35">
        <v>80.751649243470297</v>
      </c>
      <c r="F40" s="9">
        <v>4637885</v>
      </c>
    </row>
    <row r="41" spans="1:6" s="9" customFormat="1" ht="15" x14ac:dyDescent="0.2">
      <c r="A41" s="33" t="s">
        <v>42</v>
      </c>
      <c r="B41" s="43">
        <v>15000000</v>
      </c>
      <c r="C41" s="23">
        <v>130961</v>
      </c>
      <c r="D41" s="26">
        <v>6.05</v>
      </c>
      <c r="E41" s="35">
        <v>74.207684999116196</v>
      </c>
      <c r="F41" s="9">
        <v>6838948</v>
      </c>
    </row>
    <row r="42" spans="1:6" s="9" customFormat="1" ht="15" x14ac:dyDescent="0.2">
      <c r="A42" s="33" t="s">
        <v>43</v>
      </c>
      <c r="B42" s="43">
        <v>17000000</v>
      </c>
      <c r="C42" s="23">
        <v>138679</v>
      </c>
      <c r="D42" s="26">
        <v>6</v>
      </c>
      <c r="E42" s="35">
        <v>79.031489258181523</v>
      </c>
      <c r="F42" s="9">
        <v>5890323</v>
      </c>
    </row>
    <row r="43" spans="1:6" s="9" customFormat="1" ht="15" x14ac:dyDescent="0.2">
      <c r="A43" s="33" t="s">
        <v>44</v>
      </c>
      <c r="B43" s="43">
        <v>18000000</v>
      </c>
      <c r="C43" s="23">
        <v>229102</v>
      </c>
      <c r="D43" s="26">
        <v>5.97</v>
      </c>
      <c r="E43" s="35">
        <v>69.792381476847069</v>
      </c>
      <c r="F43" s="9">
        <v>9159337</v>
      </c>
    </row>
    <row r="44" spans="1:6" s="9" customFormat="1" ht="15" x14ac:dyDescent="0.2">
      <c r="A44" s="33" t="s">
        <v>45</v>
      </c>
      <c r="B44" s="43">
        <v>19000000</v>
      </c>
      <c r="C44" s="23">
        <v>119801</v>
      </c>
      <c r="D44" s="26">
        <v>6.05</v>
      </c>
      <c r="E44" s="35">
        <v>95.237267077324205</v>
      </c>
      <c r="F44" s="9">
        <v>6649456</v>
      </c>
    </row>
    <row r="45" spans="1:6" s="9" customFormat="1" ht="15" x14ac:dyDescent="0.2">
      <c r="A45" s="33" t="s">
        <v>46</v>
      </c>
      <c r="B45" s="43">
        <v>20000000</v>
      </c>
      <c r="C45" s="23">
        <v>269595</v>
      </c>
      <c r="D45" s="26">
        <v>6.05</v>
      </c>
      <c r="E45" s="35">
        <v>76.310805965427591</v>
      </c>
      <c r="F45" s="9">
        <v>9124765</v>
      </c>
    </row>
    <row r="46" spans="1:6" s="9" customFormat="1" ht="15" x14ac:dyDescent="0.2">
      <c r="A46" s="33" t="s">
        <v>47</v>
      </c>
      <c r="B46" s="43">
        <v>24000000</v>
      </c>
      <c r="C46" s="23">
        <v>99462</v>
      </c>
      <c r="D46" s="26">
        <v>6.01</v>
      </c>
      <c r="E46" s="35">
        <v>79.968607782691706</v>
      </c>
      <c r="F46" s="9">
        <v>4957799</v>
      </c>
    </row>
    <row r="47" spans="1:6" s="9" customFormat="1" ht="15" x14ac:dyDescent="0.2">
      <c r="A47" s="33" t="s">
        <v>48</v>
      </c>
      <c r="B47" s="43">
        <v>25000000</v>
      </c>
      <c r="C47" s="23">
        <v>281742</v>
      </c>
      <c r="D47" s="26">
        <v>6.24</v>
      </c>
      <c r="E47" s="35">
        <v>106.71782338952373</v>
      </c>
      <c r="F47" s="9">
        <v>8618206</v>
      </c>
    </row>
    <row r="48" spans="1:6" s="9" customFormat="1" ht="15" x14ac:dyDescent="0.2">
      <c r="A48" s="33" t="s">
        <v>49</v>
      </c>
      <c r="B48" s="43">
        <v>27000000</v>
      </c>
      <c r="C48" s="23">
        <v>96183</v>
      </c>
      <c r="D48" s="26">
        <v>6.07</v>
      </c>
      <c r="E48" s="35">
        <v>75.120243481595423</v>
      </c>
      <c r="F48" s="9">
        <v>2445385</v>
      </c>
    </row>
    <row r="49" spans="1:6" s="9" customFormat="1" ht="15" x14ac:dyDescent="0.2">
      <c r="A49" s="33" t="s">
        <v>50</v>
      </c>
      <c r="B49" s="43">
        <v>29000000</v>
      </c>
      <c r="C49" s="23">
        <v>102955</v>
      </c>
      <c r="D49" s="26">
        <v>6.13</v>
      </c>
      <c r="E49" s="35">
        <v>82.396186431270223</v>
      </c>
      <c r="F49" s="9">
        <v>4169400</v>
      </c>
    </row>
    <row r="50" spans="1:6" s="9" customFormat="1" ht="15" x14ac:dyDescent="0.2">
      <c r="A50" s="33" t="s">
        <v>51</v>
      </c>
      <c r="B50" s="43">
        <v>32000000</v>
      </c>
      <c r="C50" s="23">
        <v>321630</v>
      </c>
      <c r="D50" s="26">
        <v>6.01</v>
      </c>
      <c r="E50" s="35">
        <v>74.934612515751581</v>
      </c>
      <c r="F50" s="9">
        <v>10463399</v>
      </c>
    </row>
    <row r="51" spans="1:6" s="9" customFormat="1" ht="15" x14ac:dyDescent="0.2">
      <c r="A51" s="33" t="s">
        <v>52</v>
      </c>
      <c r="B51" s="43">
        <v>33000000</v>
      </c>
      <c r="C51" s="23">
        <v>92504</v>
      </c>
      <c r="D51" s="26">
        <v>6.01</v>
      </c>
      <c r="E51" s="35">
        <v>110.38697873505789</v>
      </c>
      <c r="F51" s="9">
        <v>9047727</v>
      </c>
    </row>
    <row r="52" spans="1:6" s="9" customFormat="1" ht="15" x14ac:dyDescent="0.2">
      <c r="A52" s="33" t="s">
        <v>53</v>
      </c>
      <c r="B52" s="43">
        <v>34000000</v>
      </c>
      <c r="C52" s="23">
        <v>65748</v>
      </c>
      <c r="D52" s="26">
        <v>5.96</v>
      </c>
      <c r="E52" s="35">
        <v>84.797639036034568</v>
      </c>
      <c r="F52" s="9">
        <v>3727520</v>
      </c>
    </row>
    <row r="53" spans="1:6" s="9" customFormat="1" ht="15" x14ac:dyDescent="0.2">
      <c r="A53" s="33" t="s">
        <v>54</v>
      </c>
      <c r="B53" s="43">
        <v>37000000</v>
      </c>
      <c r="C53" s="23">
        <v>99077</v>
      </c>
      <c r="D53" s="26">
        <v>5.95</v>
      </c>
      <c r="E53" s="35">
        <v>86.820037328287384</v>
      </c>
      <c r="F53" s="9">
        <v>5079127</v>
      </c>
    </row>
    <row r="54" spans="1:6" s="9" customFormat="1" ht="15" x14ac:dyDescent="0.2">
      <c r="A54" s="33" t="s">
        <v>55</v>
      </c>
      <c r="B54" s="43">
        <v>38000000</v>
      </c>
      <c r="C54" s="23">
        <v>110861</v>
      </c>
      <c r="D54" s="26">
        <v>6.04</v>
      </c>
      <c r="E54" s="35">
        <v>77.267536865462105</v>
      </c>
      <c r="F54" s="9">
        <v>5565575</v>
      </c>
    </row>
    <row r="55" spans="1:6" s="9" customFormat="1" ht="15" x14ac:dyDescent="0.2">
      <c r="A55" s="33" t="s">
        <v>56</v>
      </c>
      <c r="B55" s="43">
        <v>41000000</v>
      </c>
      <c r="C55" s="23">
        <v>144063</v>
      </c>
      <c r="D55" s="26">
        <v>6.11</v>
      </c>
      <c r="E55" s="35">
        <v>82.094144108389116</v>
      </c>
      <c r="F55" s="9">
        <v>5110966</v>
      </c>
    </row>
    <row r="56" spans="1:6" s="9" customFormat="1" ht="15" x14ac:dyDescent="0.2">
      <c r="A56" s="33" t="s">
        <v>57</v>
      </c>
      <c r="B56" s="43">
        <v>42000000</v>
      </c>
      <c r="C56" s="23">
        <v>111429</v>
      </c>
      <c r="D56" s="26">
        <v>5.98</v>
      </c>
      <c r="E56" s="35">
        <v>82.727653737340802</v>
      </c>
      <c r="F56" s="9">
        <v>5072779</v>
      </c>
    </row>
    <row r="57" spans="1:6" s="9" customFormat="1" ht="15" x14ac:dyDescent="0.2">
      <c r="A57" s="33" t="s">
        <v>58</v>
      </c>
      <c r="B57" s="43">
        <v>44000000</v>
      </c>
      <c r="C57" s="23">
        <v>17833</v>
      </c>
      <c r="D57" s="26">
        <v>6.15</v>
      </c>
      <c r="E57" s="35">
        <v>157.4363520648109</v>
      </c>
      <c r="F57" s="9">
        <v>887212</v>
      </c>
    </row>
    <row r="58" spans="1:6" s="9" customFormat="1" ht="15" x14ac:dyDescent="0.2">
      <c r="A58" s="33" t="s">
        <v>59</v>
      </c>
      <c r="B58" s="43">
        <v>46000000</v>
      </c>
      <c r="C58" s="23">
        <v>728240</v>
      </c>
      <c r="D58" s="26">
        <v>6.04</v>
      </c>
      <c r="E58" s="35">
        <v>65.610442420158435</v>
      </c>
      <c r="F58" s="9">
        <v>22054224</v>
      </c>
    </row>
    <row r="59" spans="1:6" s="9" customFormat="1" ht="15" x14ac:dyDescent="0.2">
      <c r="A59" s="33" t="s">
        <v>60</v>
      </c>
      <c r="B59" s="43">
        <v>47000000</v>
      </c>
      <c r="C59" s="23">
        <v>52510</v>
      </c>
      <c r="D59" s="26">
        <v>5.95</v>
      </c>
      <c r="E59" s="35">
        <v>131.88914729504233</v>
      </c>
      <c r="F59" s="9">
        <v>2622046</v>
      </c>
    </row>
    <row r="60" spans="1:6" s="9" customFormat="1" ht="15" x14ac:dyDescent="0.2">
      <c r="A60" s="33" t="s">
        <v>61</v>
      </c>
      <c r="B60" s="43">
        <v>22000000</v>
      </c>
      <c r="C60" s="23">
        <v>304084</v>
      </c>
      <c r="D60" s="26">
        <v>6</v>
      </c>
      <c r="E60" s="35">
        <v>62.257959113638591</v>
      </c>
      <c r="F60" s="9">
        <v>14643523</v>
      </c>
    </row>
    <row r="61" spans="1:6" s="9" customFormat="1" ht="15" x14ac:dyDescent="0.2">
      <c r="A61" s="33" t="s">
        <v>62</v>
      </c>
      <c r="B61" s="43">
        <v>49000000</v>
      </c>
      <c r="C61" s="23">
        <v>70292</v>
      </c>
      <c r="D61" s="26">
        <v>6.01</v>
      </c>
      <c r="E61" s="35">
        <v>82.435647406839948</v>
      </c>
      <c r="F61" s="9">
        <v>3067267</v>
      </c>
    </row>
    <row r="62" spans="1:6" s="9" customFormat="1" ht="15" x14ac:dyDescent="0.2">
      <c r="A62" s="33" t="s">
        <v>63</v>
      </c>
      <c r="B62" s="43">
        <v>50000000</v>
      </c>
      <c r="C62" s="23">
        <v>252518</v>
      </c>
      <c r="D62" s="26">
        <v>5.99</v>
      </c>
      <c r="E62" s="35">
        <v>86.011460564549338</v>
      </c>
      <c r="F62" s="9">
        <v>10018194</v>
      </c>
    </row>
    <row r="63" spans="1:6" s="9" customFormat="1" ht="15" x14ac:dyDescent="0.2">
      <c r="A63" s="33" t="s">
        <v>64</v>
      </c>
      <c r="B63" s="43">
        <v>52000000</v>
      </c>
      <c r="C63" s="23">
        <v>198105</v>
      </c>
      <c r="D63" s="26">
        <v>5.94</v>
      </c>
      <c r="E63" s="35">
        <v>61.3440665995562</v>
      </c>
      <c r="F63" s="9">
        <v>7429326</v>
      </c>
    </row>
    <row r="64" spans="1:6" s="9" customFormat="1" ht="15" x14ac:dyDescent="0.2">
      <c r="A64" s="33" t="s">
        <v>65</v>
      </c>
      <c r="B64" s="43">
        <v>53000000</v>
      </c>
      <c r="C64" s="23">
        <v>189771</v>
      </c>
      <c r="D64" s="26">
        <v>6</v>
      </c>
      <c r="E64" s="35">
        <v>84.591107051113582</v>
      </c>
      <c r="F64" s="9">
        <v>8282559</v>
      </c>
    </row>
    <row r="65" spans="1:7" s="9" customFormat="1" ht="15" x14ac:dyDescent="0.2">
      <c r="A65" s="33" t="s">
        <v>66</v>
      </c>
      <c r="B65" s="43">
        <v>54000000</v>
      </c>
      <c r="C65" s="23">
        <v>135681</v>
      </c>
      <c r="D65" s="26">
        <v>5.93</v>
      </c>
      <c r="E65" s="35">
        <v>70.556833606603206</v>
      </c>
      <c r="F65" s="9">
        <v>6918800</v>
      </c>
    </row>
    <row r="66" spans="1:7" s="9" customFormat="1" ht="15" x14ac:dyDescent="0.2">
      <c r="A66" s="33" t="s">
        <v>67</v>
      </c>
      <c r="B66" s="43">
        <v>56000000</v>
      </c>
      <c r="C66" s="23">
        <v>117471</v>
      </c>
      <c r="D66" s="26">
        <v>5.93</v>
      </c>
      <c r="E66" s="35">
        <v>79.582161245400258</v>
      </c>
      <c r="F66" s="9">
        <v>6982857</v>
      </c>
    </row>
    <row r="67" spans="1:7" s="9" customFormat="1" ht="15" x14ac:dyDescent="0.2">
      <c r="A67" s="33" t="s">
        <v>68</v>
      </c>
      <c r="B67" s="43">
        <v>58000000</v>
      </c>
      <c r="C67" s="23">
        <v>69314</v>
      </c>
      <c r="D67" s="26">
        <v>5.94</v>
      </c>
      <c r="E67" s="35">
        <v>79.890023265229161</v>
      </c>
      <c r="F67" s="9">
        <v>3938063</v>
      </c>
    </row>
    <row r="68" spans="1:7" s="9" customFormat="1" ht="15" x14ac:dyDescent="0.2">
      <c r="A68" s="33" t="s">
        <v>69</v>
      </c>
      <c r="B68" s="43">
        <v>60000000</v>
      </c>
      <c r="C68" s="23">
        <v>405192</v>
      </c>
      <c r="D68" s="26">
        <v>6.11</v>
      </c>
      <c r="E68" s="35">
        <v>74.46398516709128</v>
      </c>
      <c r="F68" s="9">
        <v>14032321</v>
      </c>
    </row>
    <row r="69" spans="1:7" s="9" customFormat="1" ht="15" x14ac:dyDescent="0.2">
      <c r="A69" s="33" t="s">
        <v>70</v>
      </c>
      <c r="B69" s="43">
        <v>61000000</v>
      </c>
      <c r="C69" s="23">
        <v>110741</v>
      </c>
      <c r="D69" s="26">
        <v>6.07</v>
      </c>
      <c r="E69" s="35">
        <v>78.40677502397844</v>
      </c>
      <c r="F69" s="9">
        <v>5719008</v>
      </c>
    </row>
    <row r="70" spans="1:7" s="9" customFormat="1" ht="15" x14ac:dyDescent="0.2">
      <c r="A70" s="33" t="s">
        <v>71</v>
      </c>
      <c r="B70" s="43">
        <v>36000000</v>
      </c>
      <c r="C70" s="23">
        <v>318186</v>
      </c>
      <c r="D70" s="26">
        <v>6.09</v>
      </c>
      <c r="E70" s="35">
        <v>77.45284779438613</v>
      </c>
      <c r="F70" s="9">
        <v>10672824</v>
      </c>
    </row>
    <row r="71" spans="1:7" s="9" customFormat="1" ht="15" x14ac:dyDescent="0.2">
      <c r="A71" s="33" t="s">
        <v>72</v>
      </c>
      <c r="B71" s="43">
        <v>63000000</v>
      </c>
      <c r="C71" s="23">
        <v>217637</v>
      </c>
      <c r="D71" s="26">
        <v>6.1</v>
      </c>
      <c r="E71" s="35">
        <v>82.820616221726326</v>
      </c>
      <c r="F71" s="9">
        <v>9873581</v>
      </c>
    </row>
    <row r="72" spans="1:7" s="9" customFormat="1" ht="15" x14ac:dyDescent="0.2">
      <c r="A72" s="33" t="s">
        <v>73</v>
      </c>
      <c r="B72" s="43">
        <v>64000000</v>
      </c>
      <c r="C72" s="23">
        <v>62173</v>
      </c>
      <c r="D72" s="26">
        <v>6.11</v>
      </c>
      <c r="E72" s="35">
        <v>125.9715087621211</v>
      </c>
      <c r="F72" s="9">
        <v>2162969</v>
      </c>
    </row>
    <row r="73" spans="1:7" s="9" customFormat="1" ht="15" x14ac:dyDescent="0.2">
      <c r="A73" s="33" t="s">
        <v>74</v>
      </c>
      <c r="B73" s="43">
        <v>65000000</v>
      </c>
      <c r="C73" s="23">
        <v>407695</v>
      </c>
      <c r="D73" s="26">
        <v>6.05</v>
      </c>
      <c r="E73" s="35">
        <v>90.228260752799883</v>
      </c>
      <c r="F73" s="9">
        <v>16914031</v>
      </c>
    </row>
    <row r="74" spans="1:7" s="9" customFormat="1" ht="15" x14ac:dyDescent="0.2">
      <c r="A74" s="33" t="s">
        <v>75</v>
      </c>
      <c r="B74" s="43">
        <v>66000000</v>
      </c>
      <c r="C74" s="23">
        <v>116429</v>
      </c>
      <c r="D74" s="26">
        <v>6</v>
      </c>
      <c r="E74" s="35">
        <v>83.33494173228344</v>
      </c>
      <c r="F74" s="9">
        <v>5453773</v>
      </c>
    </row>
    <row r="75" spans="1:7" s="9" customFormat="1" ht="15" x14ac:dyDescent="0.2">
      <c r="A75" s="33" t="s">
        <v>76</v>
      </c>
      <c r="B75" s="43">
        <v>68000000</v>
      </c>
      <c r="C75" s="23">
        <v>105305</v>
      </c>
      <c r="D75" s="26">
        <v>5.97</v>
      </c>
      <c r="E75" s="35">
        <v>83.763085774712579</v>
      </c>
      <c r="F75" s="9">
        <v>6507477</v>
      </c>
    </row>
    <row r="76" spans="1:7" s="9" customFormat="1" ht="15" x14ac:dyDescent="0.2">
      <c r="A76" s="33" t="s">
        <v>77</v>
      </c>
      <c r="B76" s="43">
        <v>28000000</v>
      </c>
      <c r="C76" s="23">
        <v>135424</v>
      </c>
      <c r="D76" s="26">
        <v>5.86</v>
      </c>
      <c r="E76" s="35">
        <v>65.596971907717545</v>
      </c>
      <c r="F76" s="9">
        <v>7161111</v>
      </c>
    </row>
    <row r="77" spans="1:7" s="9" customFormat="1" ht="15" x14ac:dyDescent="0.2">
      <c r="A77" s="33" t="s">
        <v>78</v>
      </c>
      <c r="B77" s="43">
        <v>69000000</v>
      </c>
      <c r="C77" s="23">
        <v>105502</v>
      </c>
      <c r="D77" s="26">
        <v>6.16</v>
      </c>
      <c r="E77" s="35">
        <v>80.359477296149052</v>
      </c>
      <c r="F77" s="9">
        <v>3444865</v>
      </c>
    </row>
    <row r="78" spans="1:7" s="9" customFormat="1" ht="15" x14ac:dyDescent="0.2">
      <c r="A78" s="33" t="s">
        <v>79</v>
      </c>
      <c r="B78" s="43">
        <v>70000000</v>
      </c>
      <c r="C78" s="23">
        <v>145447</v>
      </c>
      <c r="D78" s="26">
        <v>6.09</v>
      </c>
      <c r="E78" s="35">
        <v>86.513233683890562</v>
      </c>
      <c r="F78" s="9">
        <v>7102076</v>
      </c>
    </row>
    <row r="79" spans="1:7" s="9" customFormat="1" ht="15" x14ac:dyDescent="0.2">
      <c r="A79" s="33" t="s">
        <v>80</v>
      </c>
      <c r="B79" s="43">
        <v>71000000</v>
      </c>
      <c r="C79" s="23">
        <v>162084</v>
      </c>
      <c r="D79" s="26">
        <v>6.08</v>
      </c>
      <c r="E79" s="35">
        <v>85.20943002415305</v>
      </c>
      <c r="F79" s="9">
        <v>4913699</v>
      </c>
    </row>
    <row r="80" spans="1:7" s="11" customFormat="1" ht="15" x14ac:dyDescent="0.2">
      <c r="A80" s="33" t="s">
        <v>81</v>
      </c>
      <c r="B80" s="43">
        <v>73000000</v>
      </c>
      <c r="C80" s="23">
        <v>148171</v>
      </c>
      <c r="D80" s="26">
        <v>5.67</v>
      </c>
      <c r="E80" s="35">
        <v>73.382497659899002</v>
      </c>
      <c r="F80" s="10">
        <v>5035375</v>
      </c>
      <c r="G80" s="10"/>
    </row>
    <row r="81" spans="1:6" s="10" customFormat="1" ht="15" x14ac:dyDescent="0.2">
      <c r="A81" s="33" t="s">
        <v>82</v>
      </c>
      <c r="B81" s="43">
        <v>75000000</v>
      </c>
      <c r="C81" s="23">
        <v>346624</v>
      </c>
      <c r="D81" s="26">
        <v>6.16</v>
      </c>
      <c r="E81" s="35">
        <v>85.329169037018005</v>
      </c>
      <c r="F81" s="10">
        <v>12520155</v>
      </c>
    </row>
    <row r="82" spans="1:6" s="10" customFormat="1" ht="15" x14ac:dyDescent="0.2">
      <c r="A82" s="33" t="s">
        <v>83</v>
      </c>
      <c r="B82" s="43">
        <v>78000000</v>
      </c>
      <c r="C82" s="23">
        <v>118707</v>
      </c>
      <c r="D82" s="26">
        <v>5.97</v>
      </c>
      <c r="E82" s="35">
        <v>78.875575237084149</v>
      </c>
      <c r="F82" s="10">
        <v>5920603</v>
      </c>
    </row>
    <row r="83" spans="1:6" s="10" customFormat="1" ht="25.5" x14ac:dyDescent="0.2">
      <c r="A83" s="33" t="s">
        <v>84</v>
      </c>
      <c r="B83" s="43">
        <v>45000000</v>
      </c>
      <c r="C83" s="22">
        <v>924563</v>
      </c>
      <c r="D83" s="25">
        <v>6.05</v>
      </c>
      <c r="E83" s="35">
        <v>66.229947758158644</v>
      </c>
      <c r="F83" s="10">
        <v>26769346</v>
      </c>
    </row>
    <row r="84" spans="1:6" s="10" customFormat="1" ht="25.5" x14ac:dyDescent="0.2">
      <c r="A84" s="33" t="s">
        <v>85</v>
      </c>
      <c r="B84" s="43">
        <v>40000000</v>
      </c>
      <c r="C84" s="22">
        <v>371843</v>
      </c>
      <c r="D84" s="25">
        <v>5.99</v>
      </c>
      <c r="E84" s="35">
        <v>62.893058072735457</v>
      </c>
      <c r="F84" s="10">
        <v>15653650</v>
      </c>
    </row>
    <row r="85" spans="1:6" s="10" customFormat="1" ht="25.5" x14ac:dyDescent="0.2">
      <c r="A85" s="33" t="s">
        <v>86</v>
      </c>
      <c r="B85" s="46">
        <v>67000000</v>
      </c>
      <c r="C85" s="23">
        <v>59343</v>
      </c>
      <c r="D85" s="26">
        <v>6.42</v>
      </c>
      <c r="E85" s="37">
        <v>94.86</v>
      </c>
      <c r="F85" s="10">
        <v>913318</v>
      </c>
    </row>
    <row r="86" spans="1:6" s="9" customFormat="1" ht="15" x14ac:dyDescent="0.2">
      <c r="A86" s="33" t="s">
        <v>87</v>
      </c>
      <c r="B86" s="43">
        <v>99000000</v>
      </c>
      <c r="C86" s="23">
        <v>18646</v>
      </c>
      <c r="D86" s="26">
        <v>5.99</v>
      </c>
      <c r="E86" s="35">
        <v>114.02662810113901</v>
      </c>
      <c r="F86" s="9">
        <v>682464</v>
      </c>
    </row>
    <row r="87" spans="1:6" s="9" customFormat="1" ht="15" x14ac:dyDescent="0.2">
      <c r="A87" s="33" t="s">
        <v>88</v>
      </c>
      <c r="B87" s="43">
        <v>11800000</v>
      </c>
      <c r="C87" s="23">
        <v>4550</v>
      </c>
      <c r="D87" s="26">
        <v>6.29</v>
      </c>
      <c r="E87" s="35">
        <v>186.98414262686836</v>
      </c>
      <c r="F87" s="9">
        <v>161538</v>
      </c>
    </row>
    <row r="88" spans="1:6" s="9" customFormat="1" ht="25.5" x14ac:dyDescent="0.2">
      <c r="A88" s="33" t="s">
        <v>89</v>
      </c>
      <c r="B88" s="43">
        <v>71800000</v>
      </c>
      <c r="C88" s="23">
        <v>186016</v>
      </c>
      <c r="D88" s="26">
        <v>5.9</v>
      </c>
      <c r="E88" s="35">
        <v>125.44871160989941</v>
      </c>
      <c r="F88" s="9">
        <v>2473120</v>
      </c>
    </row>
    <row r="89" spans="1:6" s="9" customFormat="1" ht="15" x14ac:dyDescent="0.2">
      <c r="A89" s="33" t="s">
        <v>90</v>
      </c>
      <c r="B89" s="43">
        <v>77000000</v>
      </c>
      <c r="C89" s="23">
        <v>5934</v>
      </c>
      <c r="D89" s="27">
        <v>6.24</v>
      </c>
      <c r="E89" s="35">
        <v>409.07174109518456</v>
      </c>
      <c r="F89" s="9">
        <v>282474</v>
      </c>
    </row>
    <row r="90" spans="1:6" s="9" customFormat="1" ht="25.5" x14ac:dyDescent="0.2">
      <c r="A90" s="33" t="s">
        <v>91</v>
      </c>
      <c r="B90" s="43">
        <v>71900000</v>
      </c>
      <c r="C90" s="23">
        <v>72151</v>
      </c>
      <c r="D90" s="29">
        <v>5.74</v>
      </c>
      <c r="E90" s="35">
        <v>135.60877936452351</v>
      </c>
      <c r="F90" s="9">
        <v>854953</v>
      </c>
    </row>
    <row r="91" spans="1:6" s="9" customFormat="1" x14ac:dyDescent="0.2">
      <c r="A91" s="12" t="s">
        <v>5</v>
      </c>
      <c r="B91" s="13"/>
      <c r="C91" s="14" t="s">
        <v>92</v>
      </c>
      <c r="D91" s="28" t="s">
        <v>92</v>
      </c>
      <c r="E91" s="14" t="s">
        <v>92</v>
      </c>
    </row>
    <row r="92" spans="1:6" s="9" customFormat="1" x14ac:dyDescent="0.2">
      <c r="A92" s="15" t="s">
        <v>4</v>
      </c>
      <c r="B92" s="13"/>
      <c r="C92" s="14">
        <f>SUM(C6:C90)</f>
        <v>14168732</v>
      </c>
      <c r="D92" s="45"/>
      <c r="E92" s="16"/>
      <c r="F92" s="9">
        <f>SUM(F6:F91)</f>
        <v>532853639</v>
      </c>
    </row>
    <row r="93" spans="1:6" s="9" customFormat="1" x14ac:dyDescent="0.2">
      <c r="A93" s="17"/>
      <c r="B93" s="17"/>
      <c r="C93" s="18"/>
      <c r="D93" s="19"/>
      <c r="E93" s="20"/>
    </row>
    <row r="94" spans="1:6" s="2" customFormat="1" x14ac:dyDescent="0.2">
      <c r="A94" s="2" t="s">
        <v>3</v>
      </c>
    </row>
    <row r="95" spans="1:6" s="21" customFormat="1" x14ac:dyDescent="0.2">
      <c r="A95" s="107" t="s">
        <v>2</v>
      </c>
      <c r="B95" s="107"/>
      <c r="C95" s="107"/>
      <c r="D95" s="107"/>
      <c r="E95" s="107"/>
    </row>
    <row r="96" spans="1:6" s="21" customFormat="1" x14ac:dyDescent="0.2">
      <c r="A96" s="3" t="s">
        <v>6</v>
      </c>
      <c r="B96" s="3"/>
      <c r="C96" s="3"/>
      <c r="D96" s="3"/>
      <c r="E96" s="3"/>
    </row>
    <row r="97" spans="1:5" s="21" customFormat="1" x14ac:dyDescent="0.2">
      <c r="A97" s="3"/>
      <c r="B97" s="3"/>
      <c r="C97" s="3"/>
      <c r="D97" s="3"/>
      <c r="E97" s="1"/>
    </row>
  </sheetData>
  <autoFilter ref="A5:G96"/>
  <mergeCells count="5">
    <mergeCell ref="A95:E95"/>
    <mergeCell ref="A1:E1"/>
    <mergeCell ref="A2:A4"/>
    <mergeCell ref="B2:B4"/>
    <mergeCell ref="C2:E3"/>
  </mergeCells>
  <printOptions horizontalCentered="1"/>
  <pageMargins left="0.39370078740157483" right="0.39370078740157483" top="0.59055118110236227" bottom="0.51181102362204722" header="0.31496062992125984" footer="0.19685039370078741"/>
  <pageSetup paperSize="9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showGridLines="0" view="pageBreakPreview" zoomScale="90" zoomScaleNormal="100" zoomScaleSheetLayoutView="90" workbookViewId="0">
      <selection activeCell="D4" sqref="D4"/>
    </sheetView>
  </sheetViews>
  <sheetFormatPr defaultRowHeight="12.75" x14ac:dyDescent="0.2"/>
  <cols>
    <col min="1" max="1" width="27.42578125" style="1" customWidth="1"/>
    <col min="2" max="2" width="11.5703125" style="1" customWidth="1"/>
    <col min="3" max="3" width="14.7109375" style="1" customWidth="1"/>
    <col min="4" max="4" width="17.7109375" style="1" customWidth="1"/>
    <col min="5" max="5" width="18.42578125" style="1" customWidth="1"/>
    <col min="6" max="16384" width="9.140625" style="1"/>
  </cols>
  <sheetData>
    <row r="1" spans="1:6" s="4" customFormat="1" ht="30.75" customHeight="1" thickBot="1" x14ac:dyDescent="0.25">
      <c r="A1" s="140" t="s">
        <v>204</v>
      </c>
      <c r="B1" s="140"/>
      <c r="C1" s="140"/>
      <c r="D1" s="140"/>
      <c r="E1" s="140"/>
    </row>
    <row r="2" spans="1:6" s="5" customFormat="1" ht="12.75" customHeight="1" x14ac:dyDescent="0.2">
      <c r="A2" s="109" t="s">
        <v>1</v>
      </c>
      <c r="B2" s="112" t="s">
        <v>0</v>
      </c>
      <c r="C2" s="115" t="s">
        <v>105</v>
      </c>
      <c r="D2" s="116"/>
      <c r="E2" s="116"/>
    </row>
    <row r="3" spans="1:6" s="5" customFormat="1" ht="144.75" customHeight="1" x14ac:dyDescent="0.2">
      <c r="A3" s="110"/>
      <c r="B3" s="113"/>
      <c r="C3" s="117"/>
      <c r="D3" s="118"/>
      <c r="E3" s="118"/>
    </row>
    <row r="4" spans="1:6" s="5" customFormat="1" ht="239.25" customHeight="1" thickBot="1" x14ac:dyDescent="0.25">
      <c r="A4" s="111"/>
      <c r="B4" s="114"/>
      <c r="C4" s="31" t="s">
        <v>101</v>
      </c>
      <c r="D4" s="31" t="s">
        <v>93</v>
      </c>
      <c r="E4" s="31" t="s">
        <v>94</v>
      </c>
    </row>
    <row r="5" spans="1:6" s="9" customFormat="1" ht="13.5" thickBot="1" x14ac:dyDescent="0.25">
      <c r="A5" s="6">
        <v>1</v>
      </c>
      <c r="B5" s="40">
        <v>2</v>
      </c>
      <c r="C5" s="7">
        <v>3</v>
      </c>
      <c r="D5" s="7">
        <v>4</v>
      </c>
      <c r="E5" s="8">
        <v>5</v>
      </c>
    </row>
    <row r="6" spans="1:6" s="9" customFormat="1" ht="15" x14ac:dyDescent="0.2">
      <c r="A6" s="32" t="s">
        <v>7</v>
      </c>
      <c r="B6" s="39">
        <v>79000000</v>
      </c>
      <c r="C6" s="30">
        <v>37136</v>
      </c>
      <c r="D6" s="24">
        <v>6.04</v>
      </c>
      <c r="E6" s="36">
        <v>84.473709671683523</v>
      </c>
      <c r="F6" s="9">
        <v>1406916</v>
      </c>
    </row>
    <row r="7" spans="1:6" s="9" customFormat="1" ht="15" x14ac:dyDescent="0.2">
      <c r="A7" s="33" t="s">
        <v>8</v>
      </c>
      <c r="B7" s="38">
        <v>84000000</v>
      </c>
      <c r="C7" s="22">
        <v>26957</v>
      </c>
      <c r="D7" s="25">
        <v>6.19</v>
      </c>
      <c r="E7" s="35">
        <v>109.90378228766238</v>
      </c>
      <c r="F7" s="9">
        <v>776788</v>
      </c>
    </row>
    <row r="8" spans="1:6" s="9" customFormat="1" ht="15" x14ac:dyDescent="0.2">
      <c r="A8" s="33" t="s">
        <v>9</v>
      </c>
      <c r="B8" s="38">
        <v>80000000</v>
      </c>
      <c r="C8" s="22">
        <v>376135</v>
      </c>
      <c r="D8" s="25">
        <v>6.14</v>
      </c>
      <c r="E8" s="35">
        <v>75.683979394503226</v>
      </c>
      <c r="F8" s="9">
        <v>15087999</v>
      </c>
    </row>
    <row r="9" spans="1:6" s="9" customFormat="1" ht="15" x14ac:dyDescent="0.2">
      <c r="A9" s="33" t="s">
        <v>10</v>
      </c>
      <c r="B9" s="38">
        <v>81000000</v>
      </c>
      <c r="C9" s="22">
        <v>100273</v>
      </c>
      <c r="D9" s="25">
        <v>6.15</v>
      </c>
      <c r="E9" s="35">
        <v>106.92397086491867</v>
      </c>
      <c r="F9" s="9">
        <v>3356845</v>
      </c>
    </row>
    <row r="10" spans="1:6" s="9" customFormat="1" ht="15" x14ac:dyDescent="0.2">
      <c r="A10" s="33" t="s">
        <v>11</v>
      </c>
      <c r="B10" s="38">
        <v>82000000</v>
      </c>
      <c r="C10" s="22">
        <v>170044</v>
      </c>
      <c r="D10" s="25">
        <v>6.01</v>
      </c>
      <c r="E10" s="35">
        <v>71.04061109333017</v>
      </c>
      <c r="F10" s="9">
        <v>6208617</v>
      </c>
    </row>
    <row r="11" spans="1:6" s="9" customFormat="1" ht="15" x14ac:dyDescent="0.2">
      <c r="A11" s="33" t="s">
        <v>12</v>
      </c>
      <c r="B11" s="38">
        <v>26000000</v>
      </c>
      <c r="C11" s="22">
        <v>30839</v>
      </c>
      <c r="D11" s="25">
        <v>6.39</v>
      </c>
      <c r="E11" s="35">
        <v>93.825357303228529</v>
      </c>
      <c r="F11" s="9">
        <v>710674</v>
      </c>
    </row>
    <row r="12" spans="1:6" s="9" customFormat="1" ht="25.5" x14ac:dyDescent="0.2">
      <c r="A12" s="33" t="s">
        <v>13</v>
      </c>
      <c r="B12" s="38">
        <v>83000000</v>
      </c>
      <c r="C12" s="22">
        <v>153184</v>
      </c>
      <c r="D12" s="25">
        <v>5.63</v>
      </c>
      <c r="E12" s="35">
        <v>62.059279322801544</v>
      </c>
      <c r="F12" s="9">
        <v>3371141</v>
      </c>
    </row>
    <row r="13" spans="1:6" s="9" customFormat="1" ht="15" x14ac:dyDescent="0.2">
      <c r="A13" s="33" t="s">
        <v>14</v>
      </c>
      <c r="B13" s="38">
        <v>85000000</v>
      </c>
      <c r="C13" s="22">
        <v>25564</v>
      </c>
      <c r="D13" s="25">
        <v>6.18</v>
      </c>
      <c r="E13" s="35">
        <v>81.051159713065573</v>
      </c>
      <c r="F13" s="9">
        <v>872922</v>
      </c>
    </row>
    <row r="14" spans="1:6" s="9" customFormat="1" ht="25.5" x14ac:dyDescent="0.2">
      <c r="A14" s="33" t="s">
        <v>15</v>
      </c>
      <c r="B14" s="38">
        <v>91000000</v>
      </c>
      <c r="C14" s="22">
        <v>40560</v>
      </c>
      <c r="D14" s="25">
        <v>6.35</v>
      </c>
      <c r="E14" s="35">
        <v>75.706192015199875</v>
      </c>
      <c r="F14" s="9">
        <v>1176384</v>
      </c>
    </row>
    <row r="15" spans="1:6" s="9" customFormat="1" ht="15" x14ac:dyDescent="0.2">
      <c r="A15" s="33" t="s">
        <v>16</v>
      </c>
      <c r="B15" s="38">
        <v>86000000</v>
      </c>
      <c r="C15" s="22">
        <v>63828</v>
      </c>
      <c r="D15" s="25">
        <v>5.96</v>
      </c>
      <c r="E15" s="35">
        <v>128.58294035208806</v>
      </c>
      <c r="F15" s="9">
        <v>2726747</v>
      </c>
    </row>
    <row r="16" spans="1:6" s="9" customFormat="1" ht="15" x14ac:dyDescent="0.2">
      <c r="A16" s="33" t="s">
        <v>17</v>
      </c>
      <c r="B16" s="38">
        <v>87000000</v>
      </c>
      <c r="C16" s="22">
        <v>86815</v>
      </c>
      <c r="D16" s="25">
        <v>5.85</v>
      </c>
      <c r="E16" s="35">
        <v>137.05656082086733</v>
      </c>
      <c r="F16" s="9">
        <v>3516074</v>
      </c>
    </row>
    <row r="17" spans="1:6" s="9" customFormat="1" ht="15" x14ac:dyDescent="0.2">
      <c r="A17" s="33" t="s">
        <v>18</v>
      </c>
      <c r="B17" s="38">
        <v>35000000</v>
      </c>
      <c r="C17" s="23">
        <v>263867</v>
      </c>
      <c r="D17" s="26">
        <v>6.38</v>
      </c>
      <c r="E17" s="37">
        <v>94.86</v>
      </c>
      <c r="F17" s="9">
        <v>5111525</v>
      </c>
    </row>
    <row r="18" spans="1:6" s="9" customFormat="1" ht="15" x14ac:dyDescent="0.2">
      <c r="A18" s="33" t="s">
        <v>19</v>
      </c>
      <c r="B18" s="38">
        <v>88000000</v>
      </c>
      <c r="C18" s="22">
        <v>95037</v>
      </c>
      <c r="D18" s="25">
        <v>5.95</v>
      </c>
      <c r="E18" s="35">
        <v>62.85199776643244</v>
      </c>
      <c r="F18" s="9">
        <v>2725704</v>
      </c>
    </row>
    <row r="19" spans="1:6" s="9" customFormat="1" ht="15" x14ac:dyDescent="0.2">
      <c r="A19" s="33" t="s">
        <v>20</v>
      </c>
      <c r="B19" s="38">
        <v>89000000</v>
      </c>
      <c r="C19" s="22">
        <v>125810</v>
      </c>
      <c r="D19" s="25">
        <v>6.13</v>
      </c>
      <c r="E19" s="35">
        <v>78.010616596528777</v>
      </c>
      <c r="F19" s="9">
        <v>4369104</v>
      </c>
    </row>
    <row r="20" spans="1:6" s="9" customFormat="1" ht="15" x14ac:dyDescent="0.2">
      <c r="A20" s="33" t="s">
        <v>21</v>
      </c>
      <c r="B20" s="38">
        <v>98000000</v>
      </c>
      <c r="C20" s="22">
        <v>99417</v>
      </c>
      <c r="D20" s="25">
        <v>6.19</v>
      </c>
      <c r="E20" s="35">
        <v>149.56131390408558</v>
      </c>
      <c r="F20" s="9">
        <v>2907002</v>
      </c>
    </row>
    <row r="21" spans="1:6" s="9" customFormat="1" ht="25.5" x14ac:dyDescent="0.2">
      <c r="A21" s="33" t="s">
        <v>22</v>
      </c>
      <c r="B21" s="38">
        <v>90000000</v>
      </c>
      <c r="C21" s="22">
        <v>42639</v>
      </c>
      <c r="D21" s="25">
        <v>6.23</v>
      </c>
      <c r="E21" s="35">
        <v>70.00685951973206</v>
      </c>
      <c r="F21" s="9">
        <v>1976477</v>
      </c>
    </row>
    <row r="22" spans="1:6" s="9" customFormat="1" ht="25.5" x14ac:dyDescent="0.2">
      <c r="A22" s="33" t="s">
        <v>23</v>
      </c>
      <c r="B22" s="38">
        <v>92000000</v>
      </c>
      <c r="C22" s="22">
        <v>389029</v>
      </c>
      <c r="D22" s="25">
        <v>6.03</v>
      </c>
      <c r="E22" s="35">
        <v>62.999121538477006</v>
      </c>
      <c r="F22" s="9">
        <v>12889431</v>
      </c>
    </row>
    <row r="23" spans="1:6" s="9" customFormat="1" ht="15" x14ac:dyDescent="0.2">
      <c r="A23" s="33" t="s">
        <v>24</v>
      </c>
      <c r="B23" s="38">
        <v>93000000</v>
      </c>
      <c r="C23" s="22">
        <v>41790</v>
      </c>
      <c r="D23" s="25">
        <v>5.96</v>
      </c>
      <c r="E23" s="35">
        <v>117.56344022252732</v>
      </c>
      <c r="F23" s="9">
        <v>1065428</v>
      </c>
    </row>
    <row r="24" spans="1:6" s="9" customFormat="1" ht="15" x14ac:dyDescent="0.2">
      <c r="A24" s="33" t="s">
        <v>25</v>
      </c>
      <c r="B24" s="38">
        <v>94000000</v>
      </c>
      <c r="C24" s="22">
        <v>145242</v>
      </c>
      <c r="D24" s="25">
        <v>6.04</v>
      </c>
      <c r="E24" s="35">
        <v>85.775207185694256</v>
      </c>
      <c r="F24" s="9">
        <v>6218275</v>
      </c>
    </row>
    <row r="25" spans="1:6" s="9" customFormat="1" ht="15" x14ac:dyDescent="0.2">
      <c r="A25" s="33" t="s">
        <v>26</v>
      </c>
      <c r="B25" s="38">
        <v>95000000</v>
      </c>
      <c r="C25" s="22">
        <v>57212</v>
      </c>
      <c r="D25" s="25">
        <v>6.22</v>
      </c>
      <c r="E25" s="35">
        <v>100.11290367276284</v>
      </c>
      <c r="F25" s="9">
        <v>1757920</v>
      </c>
    </row>
    <row r="26" spans="1:6" s="9" customFormat="1" ht="15" x14ac:dyDescent="0.2">
      <c r="A26" s="33" t="s">
        <v>27</v>
      </c>
      <c r="B26" s="38">
        <v>96000000</v>
      </c>
      <c r="C26" s="22">
        <v>107049</v>
      </c>
      <c r="D26" s="25">
        <v>6.18</v>
      </c>
      <c r="E26" s="35">
        <v>81.682004464515614</v>
      </c>
      <c r="F26" s="9">
        <v>2668885</v>
      </c>
    </row>
    <row r="27" spans="1:6" s="9" customFormat="1" ht="25.5" x14ac:dyDescent="0.2">
      <c r="A27" s="33" t="s">
        <v>28</v>
      </c>
      <c r="B27" s="38">
        <v>97000000</v>
      </c>
      <c r="C27" s="22">
        <v>123439</v>
      </c>
      <c r="D27" s="25">
        <v>6.08</v>
      </c>
      <c r="E27" s="35">
        <v>68.969831290569147</v>
      </c>
      <c r="F27" s="9">
        <v>5085574</v>
      </c>
    </row>
    <row r="28" spans="1:6" s="9" customFormat="1" ht="15" x14ac:dyDescent="0.2">
      <c r="A28" s="33" t="s">
        <v>29</v>
      </c>
      <c r="B28" s="34" t="s">
        <v>95</v>
      </c>
      <c r="C28" s="22">
        <v>236292</v>
      </c>
      <c r="D28" s="25">
        <v>6.09</v>
      </c>
      <c r="E28" s="35">
        <v>92.146520990461298</v>
      </c>
      <c r="F28" s="9">
        <v>10638747</v>
      </c>
    </row>
    <row r="29" spans="1:6" s="9" customFormat="1" ht="15" x14ac:dyDescent="0.2">
      <c r="A29" s="33" t="s">
        <v>30</v>
      </c>
      <c r="B29" s="38">
        <v>76000000</v>
      </c>
      <c r="C29" s="23">
        <v>129525</v>
      </c>
      <c r="D29" s="26">
        <v>6.12</v>
      </c>
      <c r="E29" s="35">
        <v>102.49484925643752</v>
      </c>
      <c r="F29" s="9">
        <v>4571334</v>
      </c>
    </row>
    <row r="30" spans="1:6" s="9" customFormat="1" ht="15" x14ac:dyDescent="0.2">
      <c r="A30" s="33" t="s">
        <v>31</v>
      </c>
      <c r="B30" s="38">
        <v>30000000</v>
      </c>
      <c r="C30" s="23">
        <v>33840</v>
      </c>
      <c r="D30" s="26">
        <v>6.18</v>
      </c>
      <c r="E30" s="35">
        <v>164.79778701004059</v>
      </c>
      <c r="F30" s="9">
        <v>1267380</v>
      </c>
    </row>
    <row r="31" spans="1:6" s="9" customFormat="1" ht="15" x14ac:dyDescent="0.2">
      <c r="A31" s="33" t="s">
        <v>32</v>
      </c>
      <c r="B31" s="34" t="s">
        <v>96</v>
      </c>
      <c r="C31" s="23">
        <v>487005</v>
      </c>
      <c r="D31" s="26">
        <v>6.09</v>
      </c>
      <c r="E31" s="35">
        <v>77.974393467246969</v>
      </c>
      <c r="F31" s="9">
        <v>16843339</v>
      </c>
    </row>
    <row r="32" spans="1:6" s="9" customFormat="1" ht="15" x14ac:dyDescent="0.2">
      <c r="A32" s="33" t="s">
        <v>33</v>
      </c>
      <c r="B32" s="34" t="s">
        <v>97</v>
      </c>
      <c r="C32" s="23">
        <v>269209</v>
      </c>
      <c r="D32" s="26">
        <v>6.11</v>
      </c>
      <c r="E32" s="35">
        <v>99.25940760720151</v>
      </c>
      <c r="F32" s="9">
        <v>10190890</v>
      </c>
    </row>
    <row r="33" spans="1:6" s="9" customFormat="1" ht="15" x14ac:dyDescent="0.2">
      <c r="A33" s="33" t="s">
        <v>34</v>
      </c>
      <c r="B33" s="38">
        <v>57000000</v>
      </c>
      <c r="C33" s="23">
        <v>293196</v>
      </c>
      <c r="D33" s="26">
        <v>6.05</v>
      </c>
      <c r="E33" s="35">
        <v>82.240336486313055</v>
      </c>
      <c r="F33" s="9">
        <v>12357484</v>
      </c>
    </row>
    <row r="34" spans="1:6" s="9" customFormat="1" ht="15" x14ac:dyDescent="0.2">
      <c r="A34" s="33" t="s">
        <v>35</v>
      </c>
      <c r="B34" s="34" t="s">
        <v>98</v>
      </c>
      <c r="C34" s="23">
        <v>220470</v>
      </c>
      <c r="D34" s="26">
        <v>6.07</v>
      </c>
      <c r="E34" s="35">
        <v>98.780767289656154</v>
      </c>
      <c r="F34" s="9">
        <v>6746386</v>
      </c>
    </row>
    <row r="35" spans="1:6" s="9" customFormat="1" ht="15" x14ac:dyDescent="0.2">
      <c r="A35" s="33" t="s">
        <v>36</v>
      </c>
      <c r="B35" s="34" t="s">
        <v>99</v>
      </c>
      <c r="C35" s="23">
        <v>234259</v>
      </c>
      <c r="D35" s="26">
        <v>6.05</v>
      </c>
      <c r="E35" s="35">
        <v>80.722346414266951</v>
      </c>
      <c r="F35" s="9">
        <v>7773610</v>
      </c>
    </row>
    <row r="36" spans="1:6" s="9" customFormat="1" ht="15" x14ac:dyDescent="0.2">
      <c r="A36" s="33" t="s">
        <v>37</v>
      </c>
      <c r="B36" s="34" t="s">
        <v>100</v>
      </c>
      <c r="C36" s="23">
        <v>146878</v>
      </c>
      <c r="D36" s="26">
        <v>6.12</v>
      </c>
      <c r="E36" s="35">
        <v>110.21912200192321</v>
      </c>
      <c r="F36" s="9">
        <v>4679038</v>
      </c>
    </row>
    <row r="37" spans="1:6" s="9" customFormat="1" ht="15" x14ac:dyDescent="0.2">
      <c r="A37" s="33" t="s">
        <v>38</v>
      </c>
      <c r="B37" s="38">
        <v>10000000</v>
      </c>
      <c r="C37" s="23">
        <v>82491</v>
      </c>
      <c r="D37" s="26">
        <v>6</v>
      </c>
      <c r="E37" s="35">
        <v>136.20424783432395</v>
      </c>
      <c r="F37" s="9">
        <v>4061322</v>
      </c>
    </row>
    <row r="38" spans="1:6" s="9" customFormat="1" ht="15" x14ac:dyDescent="0.2">
      <c r="A38" s="33" t="s">
        <v>39</v>
      </c>
      <c r="B38" s="38">
        <v>11000000</v>
      </c>
      <c r="C38" s="23">
        <v>109897</v>
      </c>
      <c r="D38" s="26">
        <v>6.04</v>
      </c>
      <c r="E38" s="35">
        <v>110.3548212896137</v>
      </c>
      <c r="F38" s="9">
        <v>5508638</v>
      </c>
    </row>
    <row r="39" spans="1:6" s="9" customFormat="1" ht="15" x14ac:dyDescent="0.2">
      <c r="A39" s="33" t="s">
        <v>40</v>
      </c>
      <c r="B39" s="38">
        <v>12000000</v>
      </c>
      <c r="C39" s="23">
        <v>94690</v>
      </c>
      <c r="D39" s="26">
        <v>6.01</v>
      </c>
      <c r="E39" s="35">
        <v>81.967613857435794</v>
      </c>
      <c r="F39" s="9">
        <v>3601640</v>
      </c>
    </row>
    <row r="40" spans="1:6" s="9" customFormat="1" ht="15" x14ac:dyDescent="0.2">
      <c r="A40" s="33" t="s">
        <v>41</v>
      </c>
      <c r="B40" s="38">
        <v>14000000</v>
      </c>
      <c r="C40" s="23">
        <v>131140</v>
      </c>
      <c r="D40" s="26">
        <v>5.96</v>
      </c>
      <c r="E40" s="35">
        <v>80.751649243470297</v>
      </c>
      <c r="F40" s="9">
        <v>4637885</v>
      </c>
    </row>
    <row r="41" spans="1:6" s="9" customFormat="1" ht="15" x14ac:dyDescent="0.2">
      <c r="A41" s="33" t="s">
        <v>42</v>
      </c>
      <c r="B41" s="38">
        <v>15000000</v>
      </c>
      <c r="C41" s="23">
        <v>130961</v>
      </c>
      <c r="D41" s="26">
        <v>6.05</v>
      </c>
      <c r="E41" s="35">
        <v>74.207684999116196</v>
      </c>
      <c r="F41" s="9">
        <v>6838948</v>
      </c>
    </row>
    <row r="42" spans="1:6" s="9" customFormat="1" ht="15" x14ac:dyDescent="0.2">
      <c r="A42" s="33" t="s">
        <v>43</v>
      </c>
      <c r="B42" s="38">
        <v>17000000</v>
      </c>
      <c r="C42" s="23">
        <v>138679</v>
      </c>
      <c r="D42" s="26">
        <v>6</v>
      </c>
      <c r="E42" s="35">
        <v>79.031489258181523</v>
      </c>
      <c r="F42" s="9">
        <v>5890323</v>
      </c>
    </row>
    <row r="43" spans="1:6" s="9" customFormat="1" ht="15" x14ac:dyDescent="0.2">
      <c r="A43" s="33" t="s">
        <v>44</v>
      </c>
      <c r="B43" s="38">
        <v>18000000</v>
      </c>
      <c r="C43" s="23">
        <v>229102</v>
      </c>
      <c r="D43" s="26">
        <v>5.97</v>
      </c>
      <c r="E43" s="35">
        <v>69.792381476847069</v>
      </c>
      <c r="F43" s="9">
        <v>9159337</v>
      </c>
    </row>
    <row r="44" spans="1:6" s="9" customFormat="1" ht="15" x14ac:dyDescent="0.2">
      <c r="A44" s="33" t="s">
        <v>45</v>
      </c>
      <c r="B44" s="38">
        <v>19000000</v>
      </c>
      <c r="C44" s="23">
        <v>119801</v>
      </c>
      <c r="D44" s="26">
        <v>6.05</v>
      </c>
      <c r="E44" s="35">
        <v>95.237267077324205</v>
      </c>
      <c r="F44" s="9">
        <v>6649456</v>
      </c>
    </row>
    <row r="45" spans="1:6" s="9" customFormat="1" ht="15" x14ac:dyDescent="0.2">
      <c r="A45" s="33" t="s">
        <v>46</v>
      </c>
      <c r="B45" s="38">
        <v>20000000</v>
      </c>
      <c r="C45" s="23">
        <v>269595</v>
      </c>
      <c r="D45" s="26">
        <v>6.05</v>
      </c>
      <c r="E45" s="35">
        <v>76.310805965427591</v>
      </c>
      <c r="F45" s="9">
        <v>9124765</v>
      </c>
    </row>
    <row r="46" spans="1:6" s="9" customFormat="1" ht="15" x14ac:dyDescent="0.2">
      <c r="A46" s="33" t="s">
        <v>47</v>
      </c>
      <c r="B46" s="38">
        <v>24000000</v>
      </c>
      <c r="C46" s="23">
        <v>99462</v>
      </c>
      <c r="D46" s="26">
        <v>6.01</v>
      </c>
      <c r="E46" s="35">
        <v>79.968607782691706</v>
      </c>
      <c r="F46" s="9">
        <v>4957799</v>
      </c>
    </row>
    <row r="47" spans="1:6" s="9" customFormat="1" ht="15" x14ac:dyDescent="0.2">
      <c r="A47" s="33" t="s">
        <v>48</v>
      </c>
      <c r="B47" s="38">
        <v>25000000</v>
      </c>
      <c r="C47" s="23">
        <v>281742</v>
      </c>
      <c r="D47" s="26">
        <v>6.24</v>
      </c>
      <c r="E47" s="35">
        <v>106.71782338952373</v>
      </c>
      <c r="F47" s="9">
        <v>8618206</v>
      </c>
    </row>
    <row r="48" spans="1:6" s="9" customFormat="1" ht="15" x14ac:dyDescent="0.2">
      <c r="A48" s="33" t="s">
        <v>49</v>
      </c>
      <c r="B48" s="38">
        <v>27000000</v>
      </c>
      <c r="C48" s="23">
        <v>96183</v>
      </c>
      <c r="D48" s="26">
        <v>6.07</v>
      </c>
      <c r="E48" s="35">
        <v>75.120243481595423</v>
      </c>
      <c r="F48" s="9">
        <v>2445385</v>
      </c>
    </row>
    <row r="49" spans="1:6" s="9" customFormat="1" ht="15" x14ac:dyDescent="0.2">
      <c r="A49" s="33" t="s">
        <v>50</v>
      </c>
      <c r="B49" s="38">
        <v>29000000</v>
      </c>
      <c r="C49" s="23">
        <v>102955</v>
      </c>
      <c r="D49" s="26">
        <v>6.13</v>
      </c>
      <c r="E49" s="35">
        <v>82.396186431270223</v>
      </c>
      <c r="F49" s="9">
        <v>4169400</v>
      </c>
    </row>
    <row r="50" spans="1:6" s="9" customFormat="1" ht="15" x14ac:dyDescent="0.2">
      <c r="A50" s="33" t="s">
        <v>51</v>
      </c>
      <c r="B50" s="38">
        <v>32000000</v>
      </c>
      <c r="C50" s="23">
        <v>321630</v>
      </c>
      <c r="D50" s="26">
        <v>6.01</v>
      </c>
      <c r="E50" s="35">
        <v>74.934612515751581</v>
      </c>
      <c r="F50" s="9">
        <v>10463399</v>
      </c>
    </row>
    <row r="51" spans="1:6" s="9" customFormat="1" ht="15" x14ac:dyDescent="0.2">
      <c r="A51" s="33" t="s">
        <v>52</v>
      </c>
      <c r="B51" s="38">
        <v>33000000</v>
      </c>
      <c r="C51" s="23">
        <v>92504</v>
      </c>
      <c r="D51" s="26">
        <v>6.01</v>
      </c>
      <c r="E51" s="35">
        <v>110.38697873505789</v>
      </c>
      <c r="F51" s="9">
        <v>9047727</v>
      </c>
    </row>
    <row r="52" spans="1:6" s="9" customFormat="1" ht="15" x14ac:dyDescent="0.2">
      <c r="A52" s="33" t="s">
        <v>53</v>
      </c>
      <c r="B52" s="38">
        <v>34000000</v>
      </c>
      <c r="C52" s="23">
        <v>65748</v>
      </c>
      <c r="D52" s="26">
        <v>5.96</v>
      </c>
      <c r="E52" s="35">
        <v>84.797639036034568</v>
      </c>
      <c r="F52" s="9">
        <v>3727520</v>
      </c>
    </row>
    <row r="53" spans="1:6" s="9" customFormat="1" ht="15" x14ac:dyDescent="0.2">
      <c r="A53" s="33" t="s">
        <v>54</v>
      </c>
      <c r="B53" s="38">
        <v>37000000</v>
      </c>
      <c r="C53" s="23">
        <v>99077</v>
      </c>
      <c r="D53" s="26">
        <v>5.95</v>
      </c>
      <c r="E53" s="35">
        <v>86.820037328287384</v>
      </c>
      <c r="F53" s="9">
        <v>5079127</v>
      </c>
    </row>
    <row r="54" spans="1:6" s="9" customFormat="1" ht="15" x14ac:dyDescent="0.2">
      <c r="A54" s="33" t="s">
        <v>55</v>
      </c>
      <c r="B54" s="38">
        <v>38000000</v>
      </c>
      <c r="C54" s="23">
        <v>110861</v>
      </c>
      <c r="D54" s="26">
        <v>6.04</v>
      </c>
      <c r="E54" s="35">
        <v>77.267536865462105</v>
      </c>
      <c r="F54" s="9">
        <v>5565575</v>
      </c>
    </row>
    <row r="55" spans="1:6" s="9" customFormat="1" ht="15" x14ac:dyDescent="0.2">
      <c r="A55" s="33" t="s">
        <v>56</v>
      </c>
      <c r="B55" s="38">
        <v>41000000</v>
      </c>
      <c r="C55" s="23">
        <v>144063</v>
      </c>
      <c r="D55" s="26">
        <v>6.11</v>
      </c>
      <c r="E55" s="35">
        <v>82.094144108389116</v>
      </c>
      <c r="F55" s="9">
        <v>5110966</v>
      </c>
    </row>
    <row r="56" spans="1:6" s="9" customFormat="1" ht="15" x14ac:dyDescent="0.2">
      <c r="A56" s="33" t="s">
        <v>57</v>
      </c>
      <c r="B56" s="38">
        <v>42000000</v>
      </c>
      <c r="C56" s="23">
        <v>111429</v>
      </c>
      <c r="D56" s="26">
        <v>5.98</v>
      </c>
      <c r="E56" s="35">
        <v>82.727653737340802</v>
      </c>
      <c r="F56" s="9">
        <v>5072779</v>
      </c>
    </row>
    <row r="57" spans="1:6" s="9" customFormat="1" ht="15" x14ac:dyDescent="0.2">
      <c r="A57" s="33" t="s">
        <v>58</v>
      </c>
      <c r="B57" s="38">
        <v>44000000</v>
      </c>
      <c r="C57" s="23">
        <v>17833</v>
      </c>
      <c r="D57" s="26">
        <v>6.15</v>
      </c>
      <c r="E57" s="35">
        <v>157.4363520648109</v>
      </c>
      <c r="F57" s="9">
        <v>887212</v>
      </c>
    </row>
    <row r="58" spans="1:6" s="9" customFormat="1" ht="15" x14ac:dyDescent="0.2">
      <c r="A58" s="33" t="s">
        <v>59</v>
      </c>
      <c r="B58" s="38">
        <v>46000000</v>
      </c>
      <c r="C58" s="23">
        <v>728240</v>
      </c>
      <c r="D58" s="26">
        <v>6.04</v>
      </c>
      <c r="E58" s="35">
        <v>65.610442420158435</v>
      </c>
      <c r="F58" s="9">
        <v>22054224</v>
      </c>
    </row>
    <row r="59" spans="1:6" s="9" customFormat="1" ht="15" x14ac:dyDescent="0.2">
      <c r="A59" s="33" t="s">
        <v>60</v>
      </c>
      <c r="B59" s="38">
        <v>47000000</v>
      </c>
      <c r="C59" s="23">
        <v>52510</v>
      </c>
      <c r="D59" s="26">
        <v>5.95</v>
      </c>
      <c r="E59" s="35">
        <v>131.88914729504233</v>
      </c>
      <c r="F59" s="9">
        <v>2622046</v>
      </c>
    </row>
    <row r="60" spans="1:6" s="9" customFormat="1" ht="15" x14ac:dyDescent="0.2">
      <c r="A60" s="33" t="s">
        <v>61</v>
      </c>
      <c r="B60" s="38">
        <v>22000000</v>
      </c>
      <c r="C60" s="23">
        <v>304084</v>
      </c>
      <c r="D60" s="26">
        <v>6</v>
      </c>
      <c r="E60" s="35">
        <v>62.257959113638591</v>
      </c>
      <c r="F60" s="9">
        <v>14643523</v>
      </c>
    </row>
    <row r="61" spans="1:6" s="9" customFormat="1" ht="15" x14ac:dyDescent="0.2">
      <c r="A61" s="33" t="s">
        <v>62</v>
      </c>
      <c r="B61" s="38">
        <v>49000000</v>
      </c>
      <c r="C61" s="23">
        <v>70292</v>
      </c>
      <c r="D61" s="26">
        <v>6.01</v>
      </c>
      <c r="E61" s="35">
        <v>82.435647406839948</v>
      </c>
      <c r="F61" s="9">
        <v>3067267</v>
      </c>
    </row>
    <row r="62" spans="1:6" s="9" customFormat="1" ht="15" x14ac:dyDescent="0.2">
      <c r="A62" s="33" t="s">
        <v>63</v>
      </c>
      <c r="B62" s="38">
        <v>50000000</v>
      </c>
      <c r="C62" s="23">
        <v>252518</v>
      </c>
      <c r="D62" s="26">
        <v>5.99</v>
      </c>
      <c r="E62" s="35">
        <v>86.011460564549338</v>
      </c>
      <c r="F62" s="9">
        <v>10018194</v>
      </c>
    </row>
    <row r="63" spans="1:6" s="9" customFormat="1" ht="15" x14ac:dyDescent="0.2">
      <c r="A63" s="33" t="s">
        <v>64</v>
      </c>
      <c r="B63" s="38">
        <v>52000000</v>
      </c>
      <c r="C63" s="23">
        <v>198105</v>
      </c>
      <c r="D63" s="26">
        <v>5.94</v>
      </c>
      <c r="E63" s="35">
        <v>61.3440665995562</v>
      </c>
      <c r="F63" s="9">
        <v>7429326</v>
      </c>
    </row>
    <row r="64" spans="1:6" s="9" customFormat="1" ht="15" x14ac:dyDescent="0.2">
      <c r="A64" s="33" t="s">
        <v>65</v>
      </c>
      <c r="B64" s="38">
        <v>53000000</v>
      </c>
      <c r="C64" s="23">
        <v>189771</v>
      </c>
      <c r="D64" s="26">
        <v>6</v>
      </c>
      <c r="E64" s="35">
        <v>84.591107051113582</v>
      </c>
      <c r="F64" s="9">
        <v>8282559</v>
      </c>
    </row>
    <row r="65" spans="1:7" s="9" customFormat="1" ht="15" x14ac:dyDescent="0.2">
      <c r="A65" s="33" t="s">
        <v>66</v>
      </c>
      <c r="B65" s="38">
        <v>54000000</v>
      </c>
      <c r="C65" s="23">
        <v>135681</v>
      </c>
      <c r="D65" s="26">
        <v>5.93</v>
      </c>
      <c r="E65" s="35">
        <v>70.556833606603206</v>
      </c>
      <c r="F65" s="9">
        <v>6918800</v>
      </c>
    </row>
    <row r="66" spans="1:7" s="9" customFormat="1" ht="15" x14ac:dyDescent="0.2">
      <c r="A66" s="33" t="s">
        <v>67</v>
      </c>
      <c r="B66" s="38">
        <v>56000000</v>
      </c>
      <c r="C66" s="23">
        <v>117471</v>
      </c>
      <c r="D66" s="26">
        <v>5.93</v>
      </c>
      <c r="E66" s="35">
        <v>79.582161245400258</v>
      </c>
      <c r="F66" s="9">
        <v>6982857</v>
      </c>
    </row>
    <row r="67" spans="1:7" s="9" customFormat="1" ht="15" x14ac:dyDescent="0.2">
      <c r="A67" s="33" t="s">
        <v>68</v>
      </c>
      <c r="B67" s="38">
        <v>58000000</v>
      </c>
      <c r="C67" s="23">
        <v>69314</v>
      </c>
      <c r="D67" s="26">
        <v>5.94</v>
      </c>
      <c r="E67" s="35">
        <v>79.890023265229161</v>
      </c>
      <c r="F67" s="9">
        <v>3938063</v>
      </c>
    </row>
    <row r="68" spans="1:7" s="9" customFormat="1" ht="15" x14ac:dyDescent="0.2">
      <c r="A68" s="33" t="s">
        <v>69</v>
      </c>
      <c r="B68" s="38">
        <v>60000000</v>
      </c>
      <c r="C68" s="23">
        <v>405192</v>
      </c>
      <c r="D68" s="26">
        <v>6.11</v>
      </c>
      <c r="E68" s="35">
        <v>74.46398516709128</v>
      </c>
      <c r="F68" s="9">
        <v>14032321</v>
      </c>
    </row>
    <row r="69" spans="1:7" s="9" customFormat="1" ht="15" x14ac:dyDescent="0.2">
      <c r="A69" s="33" t="s">
        <v>70</v>
      </c>
      <c r="B69" s="38">
        <v>61000000</v>
      </c>
      <c r="C69" s="23">
        <v>110741</v>
      </c>
      <c r="D69" s="26">
        <v>6.07</v>
      </c>
      <c r="E69" s="35">
        <v>78.40677502397844</v>
      </c>
      <c r="F69" s="9">
        <v>5719008</v>
      </c>
    </row>
    <row r="70" spans="1:7" s="9" customFormat="1" ht="15" x14ac:dyDescent="0.2">
      <c r="A70" s="33" t="s">
        <v>71</v>
      </c>
      <c r="B70" s="38">
        <v>36000000</v>
      </c>
      <c r="C70" s="23">
        <v>318186</v>
      </c>
      <c r="D70" s="26">
        <v>6.09</v>
      </c>
      <c r="E70" s="35">
        <v>77.45284779438613</v>
      </c>
      <c r="F70" s="9">
        <v>10672824</v>
      </c>
    </row>
    <row r="71" spans="1:7" s="9" customFormat="1" ht="15" x14ac:dyDescent="0.2">
      <c r="A71" s="33" t="s">
        <v>72</v>
      </c>
      <c r="B71" s="38">
        <v>63000000</v>
      </c>
      <c r="C71" s="23">
        <v>217637</v>
      </c>
      <c r="D71" s="26">
        <v>6.1</v>
      </c>
      <c r="E71" s="35">
        <v>82.820616221726326</v>
      </c>
      <c r="F71" s="9">
        <v>9873581</v>
      </c>
    </row>
    <row r="72" spans="1:7" s="9" customFormat="1" ht="15" x14ac:dyDescent="0.2">
      <c r="A72" s="33" t="s">
        <v>73</v>
      </c>
      <c r="B72" s="38">
        <v>64000000</v>
      </c>
      <c r="C72" s="23">
        <v>62173</v>
      </c>
      <c r="D72" s="26">
        <v>6.11</v>
      </c>
      <c r="E72" s="35">
        <v>125.9715087621211</v>
      </c>
      <c r="F72" s="9">
        <v>2162969</v>
      </c>
    </row>
    <row r="73" spans="1:7" s="9" customFormat="1" ht="15" x14ac:dyDescent="0.2">
      <c r="A73" s="33" t="s">
        <v>74</v>
      </c>
      <c r="B73" s="38">
        <v>65000000</v>
      </c>
      <c r="C73" s="23">
        <v>407695</v>
      </c>
      <c r="D73" s="26">
        <v>6.05</v>
      </c>
      <c r="E73" s="35">
        <v>90.228260752799883</v>
      </c>
      <c r="F73" s="9">
        <v>16914031</v>
      </c>
    </row>
    <row r="74" spans="1:7" s="9" customFormat="1" ht="15" x14ac:dyDescent="0.2">
      <c r="A74" s="33" t="s">
        <v>75</v>
      </c>
      <c r="B74" s="38">
        <v>66000000</v>
      </c>
      <c r="C74" s="23">
        <v>116429</v>
      </c>
      <c r="D74" s="26">
        <v>6</v>
      </c>
      <c r="E74" s="35">
        <v>83.33494173228344</v>
      </c>
      <c r="F74" s="9">
        <v>5453773</v>
      </c>
    </row>
    <row r="75" spans="1:7" s="9" customFormat="1" ht="15" x14ac:dyDescent="0.2">
      <c r="A75" s="33" t="s">
        <v>76</v>
      </c>
      <c r="B75" s="38">
        <v>68000000</v>
      </c>
      <c r="C75" s="23">
        <v>105305</v>
      </c>
      <c r="D75" s="26">
        <v>5.97</v>
      </c>
      <c r="E75" s="35">
        <v>83.763085774712579</v>
      </c>
      <c r="F75" s="9">
        <v>6507477</v>
      </c>
    </row>
    <row r="76" spans="1:7" s="9" customFormat="1" ht="15" x14ac:dyDescent="0.2">
      <c r="A76" s="33" t="s">
        <v>77</v>
      </c>
      <c r="B76" s="38">
        <v>28000000</v>
      </c>
      <c r="C76" s="23">
        <v>135424</v>
      </c>
      <c r="D76" s="26">
        <v>5.86</v>
      </c>
      <c r="E76" s="35">
        <v>65.596971907717545</v>
      </c>
      <c r="F76" s="9">
        <v>7161111</v>
      </c>
    </row>
    <row r="77" spans="1:7" s="9" customFormat="1" ht="15" x14ac:dyDescent="0.2">
      <c r="A77" s="33" t="s">
        <v>78</v>
      </c>
      <c r="B77" s="38">
        <v>69000000</v>
      </c>
      <c r="C77" s="23">
        <v>105502</v>
      </c>
      <c r="D77" s="26">
        <v>6.16</v>
      </c>
      <c r="E77" s="35">
        <v>80.359477296149052</v>
      </c>
      <c r="F77" s="9">
        <v>3444865</v>
      </c>
    </row>
    <row r="78" spans="1:7" s="9" customFormat="1" ht="15" x14ac:dyDescent="0.2">
      <c r="A78" s="33" t="s">
        <v>79</v>
      </c>
      <c r="B78" s="38">
        <v>70000000</v>
      </c>
      <c r="C78" s="23">
        <v>145447</v>
      </c>
      <c r="D78" s="26">
        <v>6.09</v>
      </c>
      <c r="E78" s="35">
        <v>86.513233683890562</v>
      </c>
      <c r="F78" s="9">
        <v>7102076</v>
      </c>
    </row>
    <row r="79" spans="1:7" s="9" customFormat="1" ht="15" x14ac:dyDescent="0.2">
      <c r="A79" s="33" t="s">
        <v>80</v>
      </c>
      <c r="B79" s="38">
        <v>71000000</v>
      </c>
      <c r="C79" s="23">
        <v>162084</v>
      </c>
      <c r="D79" s="26">
        <v>6.08</v>
      </c>
      <c r="E79" s="35">
        <v>85.20943002415305</v>
      </c>
      <c r="F79" s="9">
        <v>4913699</v>
      </c>
    </row>
    <row r="80" spans="1:7" s="11" customFormat="1" ht="15" x14ac:dyDescent="0.2">
      <c r="A80" s="33" t="s">
        <v>81</v>
      </c>
      <c r="B80" s="38">
        <v>73000000</v>
      </c>
      <c r="C80" s="23">
        <v>148171</v>
      </c>
      <c r="D80" s="26">
        <v>5.67</v>
      </c>
      <c r="E80" s="35">
        <v>73.382497659899002</v>
      </c>
      <c r="F80" s="10">
        <v>5035375</v>
      </c>
      <c r="G80" s="10"/>
    </row>
    <row r="81" spans="1:6" s="10" customFormat="1" ht="15" x14ac:dyDescent="0.2">
      <c r="A81" s="33" t="s">
        <v>82</v>
      </c>
      <c r="B81" s="38">
        <v>75000000</v>
      </c>
      <c r="C81" s="23">
        <v>346624</v>
      </c>
      <c r="D81" s="26">
        <v>6.16</v>
      </c>
      <c r="E81" s="35">
        <v>85.329169037018005</v>
      </c>
      <c r="F81" s="10">
        <v>12520155</v>
      </c>
    </row>
    <row r="82" spans="1:6" s="10" customFormat="1" ht="15" x14ac:dyDescent="0.2">
      <c r="A82" s="33" t="s">
        <v>83</v>
      </c>
      <c r="B82" s="38">
        <v>78000000</v>
      </c>
      <c r="C82" s="23">
        <v>118707</v>
      </c>
      <c r="D82" s="26">
        <v>5.97</v>
      </c>
      <c r="E82" s="35">
        <v>78.875575237084149</v>
      </c>
      <c r="F82" s="10">
        <v>5920603</v>
      </c>
    </row>
    <row r="83" spans="1:6" s="10" customFormat="1" ht="25.5" x14ac:dyDescent="0.2">
      <c r="A83" s="33" t="s">
        <v>84</v>
      </c>
      <c r="B83" s="38">
        <v>45000000</v>
      </c>
      <c r="C83" s="22">
        <v>924563</v>
      </c>
      <c r="D83" s="25">
        <v>6.05</v>
      </c>
      <c r="E83" s="35">
        <v>66.229947758158644</v>
      </c>
      <c r="F83" s="10">
        <v>26769346</v>
      </c>
    </row>
    <row r="84" spans="1:6" s="10" customFormat="1" ht="25.5" x14ac:dyDescent="0.2">
      <c r="A84" s="33" t="s">
        <v>85</v>
      </c>
      <c r="B84" s="38">
        <v>40000000</v>
      </c>
      <c r="C84" s="22">
        <v>371843</v>
      </c>
      <c r="D84" s="25">
        <v>5.99</v>
      </c>
      <c r="E84" s="35">
        <v>62.893058072735457</v>
      </c>
      <c r="F84" s="10">
        <v>15653650</v>
      </c>
    </row>
    <row r="85" spans="1:6" s="10" customFormat="1" ht="25.5" x14ac:dyDescent="0.2">
      <c r="A85" s="33" t="s">
        <v>86</v>
      </c>
      <c r="B85" s="38">
        <v>67000000</v>
      </c>
      <c r="C85" s="23">
        <v>59343</v>
      </c>
      <c r="D85" s="26">
        <v>6.42</v>
      </c>
      <c r="E85" s="37">
        <v>94.86</v>
      </c>
      <c r="F85" s="10">
        <v>913318</v>
      </c>
    </row>
    <row r="86" spans="1:6" s="9" customFormat="1" ht="15" x14ac:dyDescent="0.2">
      <c r="A86" s="33" t="s">
        <v>87</v>
      </c>
      <c r="B86" s="38">
        <v>99000000</v>
      </c>
      <c r="C86" s="23">
        <v>18646</v>
      </c>
      <c r="D86" s="26">
        <v>5.99</v>
      </c>
      <c r="E86" s="35">
        <v>114.02662810113901</v>
      </c>
      <c r="F86" s="9">
        <v>682464</v>
      </c>
    </row>
    <row r="87" spans="1:6" s="9" customFormat="1" ht="15" x14ac:dyDescent="0.2">
      <c r="A87" s="33" t="s">
        <v>88</v>
      </c>
      <c r="B87" s="38">
        <v>11800000</v>
      </c>
      <c r="C87" s="23">
        <v>4550</v>
      </c>
      <c r="D87" s="26">
        <v>6.29</v>
      </c>
      <c r="E87" s="35">
        <v>186.98414262686836</v>
      </c>
      <c r="F87" s="9">
        <v>161538</v>
      </c>
    </row>
    <row r="88" spans="1:6" s="9" customFormat="1" ht="25.5" x14ac:dyDescent="0.2">
      <c r="A88" s="33" t="s">
        <v>89</v>
      </c>
      <c r="B88" s="38">
        <v>71800000</v>
      </c>
      <c r="C88" s="23">
        <v>186016</v>
      </c>
      <c r="D88" s="26">
        <v>5.9</v>
      </c>
      <c r="E88" s="35">
        <v>125.44871160989941</v>
      </c>
      <c r="F88" s="9">
        <v>2473120</v>
      </c>
    </row>
    <row r="89" spans="1:6" s="9" customFormat="1" ht="15" x14ac:dyDescent="0.2">
      <c r="A89" s="33" t="s">
        <v>90</v>
      </c>
      <c r="B89" s="38">
        <v>77000000</v>
      </c>
      <c r="C89" s="23">
        <v>5934</v>
      </c>
      <c r="D89" s="27">
        <v>6.24</v>
      </c>
      <c r="E89" s="35">
        <v>409.07174109518456</v>
      </c>
      <c r="F89" s="9">
        <v>282474</v>
      </c>
    </row>
    <row r="90" spans="1:6" s="9" customFormat="1" ht="25.5" x14ac:dyDescent="0.2">
      <c r="A90" s="33" t="s">
        <v>91</v>
      </c>
      <c r="B90" s="38">
        <v>71900000</v>
      </c>
      <c r="C90" s="23">
        <v>72151</v>
      </c>
      <c r="D90" s="29">
        <v>5.74</v>
      </c>
      <c r="E90" s="35">
        <v>135.60877936452351</v>
      </c>
      <c r="F90" s="9">
        <v>854953</v>
      </c>
    </row>
    <row r="91" spans="1:6" s="9" customFormat="1" x14ac:dyDescent="0.2">
      <c r="A91" s="12" t="s">
        <v>5</v>
      </c>
      <c r="B91" s="13"/>
      <c r="C91" s="14" t="s">
        <v>92</v>
      </c>
      <c r="D91" s="28" t="s">
        <v>92</v>
      </c>
      <c r="E91" s="14" t="s">
        <v>92</v>
      </c>
    </row>
    <row r="92" spans="1:6" s="9" customFormat="1" x14ac:dyDescent="0.2">
      <c r="A92" s="15" t="s">
        <v>4</v>
      </c>
      <c r="B92" s="13"/>
      <c r="C92" s="14">
        <f>SUM(C6:C90)</f>
        <v>14168732</v>
      </c>
      <c r="D92" s="41"/>
      <c r="E92" s="16"/>
    </row>
    <row r="93" spans="1:6" s="9" customFormat="1" x14ac:dyDescent="0.2">
      <c r="A93" s="17"/>
      <c r="B93" s="17"/>
      <c r="C93" s="18"/>
      <c r="D93" s="19"/>
      <c r="E93" s="20"/>
    </row>
    <row r="94" spans="1:6" s="2" customFormat="1" x14ac:dyDescent="0.2">
      <c r="A94" s="2" t="s">
        <v>3</v>
      </c>
    </row>
    <row r="95" spans="1:6" s="21" customFormat="1" x14ac:dyDescent="0.2">
      <c r="A95" s="107" t="s">
        <v>2</v>
      </c>
      <c r="B95" s="107"/>
      <c r="C95" s="107"/>
      <c r="D95" s="107"/>
      <c r="E95" s="107"/>
    </row>
    <row r="96" spans="1:6" s="21" customFormat="1" x14ac:dyDescent="0.2">
      <c r="A96" s="3" t="s">
        <v>6</v>
      </c>
      <c r="B96" s="3"/>
      <c r="C96" s="3"/>
      <c r="D96" s="3"/>
      <c r="E96" s="3"/>
    </row>
    <row r="97" spans="1:5" s="21" customFormat="1" x14ac:dyDescent="0.2">
      <c r="A97" s="3"/>
      <c r="B97" s="3"/>
      <c r="C97" s="3"/>
      <c r="D97" s="3"/>
      <c r="E97" s="1"/>
    </row>
  </sheetData>
  <autoFilter ref="A5:G96"/>
  <mergeCells count="5">
    <mergeCell ref="A95:E95"/>
    <mergeCell ref="A1:E1"/>
    <mergeCell ref="A2:A4"/>
    <mergeCell ref="B2:B4"/>
    <mergeCell ref="C2:E3"/>
  </mergeCells>
  <printOptions horizontalCentered="1"/>
  <pageMargins left="0.39370078740157483" right="0.39370078740157483" top="0.59055118110236227" bottom="0.51181102362204722" header="0.31496062992125984" footer="0.19685039370078741"/>
  <pageSetup paperSize="9" fitToHeight="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showGridLines="0" view="pageBreakPreview" zoomScale="90" zoomScaleNormal="100" zoomScaleSheetLayoutView="90" workbookViewId="0">
      <selection activeCell="F4" sqref="F4"/>
    </sheetView>
  </sheetViews>
  <sheetFormatPr defaultRowHeight="12.75" x14ac:dyDescent="0.2"/>
  <cols>
    <col min="1" max="1" width="27.42578125" style="1" customWidth="1"/>
    <col min="2" max="2" width="11.5703125" style="1" customWidth="1"/>
    <col min="3" max="3" width="14.7109375" style="1" customWidth="1"/>
    <col min="4" max="4" width="17.7109375" style="1" customWidth="1"/>
    <col min="5" max="5" width="18.42578125" style="1" customWidth="1"/>
    <col min="6" max="16384" width="9.140625" style="1"/>
  </cols>
  <sheetData>
    <row r="1" spans="1:6" s="4" customFormat="1" ht="32.25" customHeight="1" thickBot="1" x14ac:dyDescent="0.25">
      <c r="A1" s="108" t="s">
        <v>205</v>
      </c>
      <c r="B1" s="108"/>
      <c r="C1" s="108"/>
      <c r="D1" s="108"/>
      <c r="E1" s="108"/>
    </row>
    <row r="2" spans="1:6" s="5" customFormat="1" ht="12.75" customHeight="1" x14ac:dyDescent="0.2">
      <c r="A2" s="109" t="s">
        <v>1</v>
      </c>
      <c r="B2" s="112" t="s">
        <v>0</v>
      </c>
      <c r="C2" s="115" t="s">
        <v>104</v>
      </c>
      <c r="D2" s="116"/>
      <c r="E2" s="116"/>
    </row>
    <row r="3" spans="1:6" s="5" customFormat="1" ht="130.5" customHeight="1" x14ac:dyDescent="0.2">
      <c r="A3" s="110"/>
      <c r="B3" s="113"/>
      <c r="C3" s="117"/>
      <c r="D3" s="118"/>
      <c r="E3" s="118"/>
    </row>
    <row r="4" spans="1:6" s="5" customFormat="1" ht="222.75" customHeight="1" thickBot="1" x14ac:dyDescent="0.25">
      <c r="A4" s="111"/>
      <c r="B4" s="114"/>
      <c r="C4" s="31" t="s">
        <v>101</v>
      </c>
      <c r="D4" s="31" t="s">
        <v>93</v>
      </c>
      <c r="E4" s="31" t="s">
        <v>94</v>
      </c>
    </row>
    <row r="5" spans="1:6" s="9" customFormat="1" ht="13.5" thickBot="1" x14ac:dyDescent="0.25">
      <c r="A5" s="6">
        <v>1</v>
      </c>
      <c r="B5" s="40">
        <v>2</v>
      </c>
      <c r="C5" s="7">
        <v>3</v>
      </c>
      <c r="D5" s="7">
        <v>4</v>
      </c>
      <c r="E5" s="8">
        <v>5</v>
      </c>
    </row>
    <row r="6" spans="1:6" s="9" customFormat="1" ht="15" x14ac:dyDescent="0.2">
      <c r="A6" s="32" t="s">
        <v>7</v>
      </c>
      <c r="B6" s="39">
        <v>79000000</v>
      </c>
      <c r="C6" s="30">
        <v>37136</v>
      </c>
      <c r="D6" s="24">
        <v>6.04</v>
      </c>
      <c r="E6" s="36">
        <v>84.473709671683523</v>
      </c>
      <c r="F6" s="9">
        <v>1406916</v>
      </c>
    </row>
    <row r="7" spans="1:6" s="9" customFormat="1" ht="15" x14ac:dyDescent="0.2">
      <c r="A7" s="33" t="s">
        <v>8</v>
      </c>
      <c r="B7" s="38">
        <v>84000000</v>
      </c>
      <c r="C7" s="22">
        <v>26957</v>
      </c>
      <c r="D7" s="25">
        <v>6.19</v>
      </c>
      <c r="E7" s="35">
        <v>109.90378228766238</v>
      </c>
      <c r="F7" s="9">
        <v>776788</v>
      </c>
    </row>
    <row r="8" spans="1:6" s="9" customFormat="1" ht="15" x14ac:dyDescent="0.2">
      <c r="A8" s="33" t="s">
        <v>9</v>
      </c>
      <c r="B8" s="38">
        <v>80000000</v>
      </c>
      <c r="C8" s="22">
        <v>376135</v>
      </c>
      <c r="D8" s="25">
        <v>6.14</v>
      </c>
      <c r="E8" s="35">
        <v>75.683979394503226</v>
      </c>
      <c r="F8" s="9">
        <v>15087999</v>
      </c>
    </row>
    <row r="9" spans="1:6" s="9" customFormat="1" ht="15" x14ac:dyDescent="0.2">
      <c r="A9" s="33" t="s">
        <v>10</v>
      </c>
      <c r="B9" s="38">
        <v>81000000</v>
      </c>
      <c r="C9" s="22">
        <v>100273</v>
      </c>
      <c r="D9" s="25">
        <v>6.15</v>
      </c>
      <c r="E9" s="35">
        <v>106.92397086491867</v>
      </c>
      <c r="F9" s="9">
        <v>3356845</v>
      </c>
    </row>
    <row r="10" spans="1:6" s="9" customFormat="1" ht="15" x14ac:dyDescent="0.2">
      <c r="A10" s="33" t="s">
        <v>11</v>
      </c>
      <c r="B10" s="38">
        <v>82000000</v>
      </c>
      <c r="C10" s="22">
        <v>170044</v>
      </c>
      <c r="D10" s="25">
        <v>6.01</v>
      </c>
      <c r="E10" s="35">
        <v>71.04061109333017</v>
      </c>
      <c r="F10" s="9">
        <v>6208617</v>
      </c>
    </row>
    <row r="11" spans="1:6" s="9" customFormat="1" ht="15" x14ac:dyDescent="0.2">
      <c r="A11" s="33" t="s">
        <v>12</v>
      </c>
      <c r="B11" s="38">
        <v>26000000</v>
      </c>
      <c r="C11" s="22">
        <v>30839</v>
      </c>
      <c r="D11" s="25">
        <v>6.39</v>
      </c>
      <c r="E11" s="35">
        <v>93.825357303228529</v>
      </c>
      <c r="F11" s="9">
        <v>710674</v>
      </c>
    </row>
    <row r="12" spans="1:6" s="9" customFormat="1" ht="25.5" x14ac:dyDescent="0.2">
      <c r="A12" s="33" t="s">
        <v>13</v>
      </c>
      <c r="B12" s="38">
        <v>83000000</v>
      </c>
      <c r="C12" s="22">
        <v>153184</v>
      </c>
      <c r="D12" s="25">
        <v>5.63</v>
      </c>
      <c r="E12" s="35">
        <v>62.059279322801544</v>
      </c>
      <c r="F12" s="9">
        <v>3371141</v>
      </c>
    </row>
    <row r="13" spans="1:6" s="9" customFormat="1" ht="15" x14ac:dyDescent="0.2">
      <c r="A13" s="33" t="s">
        <v>14</v>
      </c>
      <c r="B13" s="38">
        <v>85000000</v>
      </c>
      <c r="C13" s="22">
        <v>25564</v>
      </c>
      <c r="D13" s="25">
        <v>6.18</v>
      </c>
      <c r="E13" s="35">
        <v>81.051159713065573</v>
      </c>
      <c r="F13" s="9">
        <v>872922</v>
      </c>
    </row>
    <row r="14" spans="1:6" s="9" customFormat="1" ht="25.5" x14ac:dyDescent="0.2">
      <c r="A14" s="33" t="s">
        <v>15</v>
      </c>
      <c r="B14" s="38">
        <v>91000000</v>
      </c>
      <c r="C14" s="22">
        <v>40560</v>
      </c>
      <c r="D14" s="25">
        <v>6.35</v>
      </c>
      <c r="E14" s="35">
        <v>75.706192015199875</v>
      </c>
      <c r="F14" s="9">
        <v>1176384</v>
      </c>
    </row>
    <row r="15" spans="1:6" s="9" customFormat="1" ht="15" x14ac:dyDescent="0.2">
      <c r="A15" s="33" t="s">
        <v>16</v>
      </c>
      <c r="B15" s="38">
        <v>86000000</v>
      </c>
      <c r="C15" s="22">
        <v>63828</v>
      </c>
      <c r="D15" s="25">
        <v>5.96</v>
      </c>
      <c r="E15" s="35">
        <v>128.58294035208806</v>
      </c>
      <c r="F15" s="9">
        <v>2726747</v>
      </c>
    </row>
    <row r="16" spans="1:6" s="9" customFormat="1" ht="15" x14ac:dyDescent="0.2">
      <c r="A16" s="33" t="s">
        <v>17</v>
      </c>
      <c r="B16" s="38">
        <v>87000000</v>
      </c>
      <c r="C16" s="22">
        <v>86815</v>
      </c>
      <c r="D16" s="25">
        <v>5.85</v>
      </c>
      <c r="E16" s="35">
        <v>137.05656082086733</v>
      </c>
      <c r="F16" s="9">
        <v>3516074</v>
      </c>
    </row>
    <row r="17" spans="1:6" s="9" customFormat="1" ht="15" x14ac:dyDescent="0.2">
      <c r="A17" s="33" t="s">
        <v>18</v>
      </c>
      <c r="B17" s="38">
        <v>35000000</v>
      </c>
      <c r="C17" s="23">
        <v>263867</v>
      </c>
      <c r="D17" s="26">
        <v>6.38</v>
      </c>
      <c r="E17" s="37">
        <v>94.86</v>
      </c>
      <c r="F17" s="9">
        <v>5111525</v>
      </c>
    </row>
    <row r="18" spans="1:6" s="9" customFormat="1" ht="15" x14ac:dyDescent="0.2">
      <c r="A18" s="33" t="s">
        <v>19</v>
      </c>
      <c r="B18" s="38">
        <v>88000000</v>
      </c>
      <c r="C18" s="22">
        <v>95037</v>
      </c>
      <c r="D18" s="25">
        <v>5.95</v>
      </c>
      <c r="E18" s="35">
        <v>62.85199776643244</v>
      </c>
      <c r="F18" s="9">
        <v>2725704</v>
      </c>
    </row>
    <row r="19" spans="1:6" s="9" customFormat="1" ht="15" x14ac:dyDescent="0.2">
      <c r="A19" s="33" t="s">
        <v>20</v>
      </c>
      <c r="B19" s="38">
        <v>89000000</v>
      </c>
      <c r="C19" s="22">
        <v>125810</v>
      </c>
      <c r="D19" s="25">
        <v>6.13</v>
      </c>
      <c r="E19" s="35">
        <v>78.010616596528777</v>
      </c>
      <c r="F19" s="9">
        <v>4369104</v>
      </c>
    </row>
    <row r="20" spans="1:6" s="9" customFormat="1" ht="15" x14ac:dyDescent="0.2">
      <c r="A20" s="33" t="s">
        <v>21</v>
      </c>
      <c r="B20" s="38">
        <v>98000000</v>
      </c>
      <c r="C20" s="22">
        <v>99417</v>
      </c>
      <c r="D20" s="25">
        <v>6.19</v>
      </c>
      <c r="E20" s="35">
        <v>149.56131390408558</v>
      </c>
      <c r="F20" s="9">
        <v>2907002</v>
      </c>
    </row>
    <row r="21" spans="1:6" s="9" customFormat="1" ht="25.5" x14ac:dyDescent="0.2">
      <c r="A21" s="33" t="s">
        <v>22</v>
      </c>
      <c r="B21" s="38">
        <v>90000000</v>
      </c>
      <c r="C21" s="22">
        <v>42639</v>
      </c>
      <c r="D21" s="25">
        <v>6.23</v>
      </c>
      <c r="E21" s="35">
        <v>70.00685951973206</v>
      </c>
      <c r="F21" s="9">
        <v>1976477</v>
      </c>
    </row>
    <row r="22" spans="1:6" s="9" customFormat="1" ht="25.5" x14ac:dyDescent="0.2">
      <c r="A22" s="33" t="s">
        <v>23</v>
      </c>
      <c r="B22" s="38">
        <v>92000000</v>
      </c>
      <c r="C22" s="22">
        <v>389029</v>
      </c>
      <c r="D22" s="25">
        <v>6.03</v>
      </c>
      <c r="E22" s="35">
        <v>62.999121538477006</v>
      </c>
      <c r="F22" s="9">
        <v>12889431</v>
      </c>
    </row>
    <row r="23" spans="1:6" s="9" customFormat="1" ht="15" x14ac:dyDescent="0.2">
      <c r="A23" s="33" t="s">
        <v>24</v>
      </c>
      <c r="B23" s="38">
        <v>93000000</v>
      </c>
      <c r="C23" s="22">
        <v>41790</v>
      </c>
      <c r="D23" s="25">
        <v>5.96</v>
      </c>
      <c r="E23" s="35">
        <v>117.56344022252732</v>
      </c>
      <c r="F23" s="9">
        <v>1065428</v>
      </c>
    </row>
    <row r="24" spans="1:6" s="9" customFormat="1" ht="15" x14ac:dyDescent="0.2">
      <c r="A24" s="33" t="s">
        <v>25</v>
      </c>
      <c r="B24" s="38">
        <v>94000000</v>
      </c>
      <c r="C24" s="22">
        <v>145242</v>
      </c>
      <c r="D24" s="25">
        <v>6.04</v>
      </c>
      <c r="E24" s="35">
        <v>85.775207185694256</v>
      </c>
      <c r="F24" s="9">
        <v>6218275</v>
      </c>
    </row>
    <row r="25" spans="1:6" s="9" customFormat="1" ht="15" x14ac:dyDescent="0.2">
      <c r="A25" s="33" t="s">
        <v>26</v>
      </c>
      <c r="B25" s="38">
        <v>95000000</v>
      </c>
      <c r="C25" s="22">
        <v>57212</v>
      </c>
      <c r="D25" s="25">
        <v>6.22</v>
      </c>
      <c r="E25" s="35">
        <v>100.11290367276284</v>
      </c>
      <c r="F25" s="9">
        <v>1757920</v>
      </c>
    </row>
    <row r="26" spans="1:6" s="9" customFormat="1" ht="15" x14ac:dyDescent="0.2">
      <c r="A26" s="33" t="s">
        <v>27</v>
      </c>
      <c r="B26" s="38">
        <v>96000000</v>
      </c>
      <c r="C26" s="22">
        <v>107049</v>
      </c>
      <c r="D26" s="25">
        <v>6.18</v>
      </c>
      <c r="E26" s="35">
        <v>81.682004464515614</v>
      </c>
      <c r="F26" s="9">
        <v>2668885</v>
      </c>
    </row>
    <row r="27" spans="1:6" s="9" customFormat="1" ht="25.5" x14ac:dyDescent="0.2">
      <c r="A27" s="33" t="s">
        <v>28</v>
      </c>
      <c r="B27" s="38">
        <v>97000000</v>
      </c>
      <c r="C27" s="22">
        <v>123439</v>
      </c>
      <c r="D27" s="25">
        <v>6.08</v>
      </c>
      <c r="E27" s="35">
        <v>68.969831290569147</v>
      </c>
      <c r="F27" s="9">
        <v>5085574</v>
      </c>
    </row>
    <row r="28" spans="1:6" s="9" customFormat="1" ht="15" x14ac:dyDescent="0.2">
      <c r="A28" s="33" t="s">
        <v>29</v>
      </c>
      <c r="B28" s="34" t="s">
        <v>95</v>
      </c>
      <c r="C28" s="22">
        <v>236292</v>
      </c>
      <c r="D28" s="25">
        <v>6.09</v>
      </c>
      <c r="E28" s="35">
        <v>92.146520990461298</v>
      </c>
      <c r="F28" s="9">
        <v>10638747</v>
      </c>
    </row>
    <row r="29" spans="1:6" s="9" customFormat="1" ht="15" x14ac:dyDescent="0.2">
      <c r="A29" s="33" t="s">
        <v>30</v>
      </c>
      <c r="B29" s="38">
        <v>76000000</v>
      </c>
      <c r="C29" s="23">
        <v>129525</v>
      </c>
      <c r="D29" s="26">
        <v>6.12</v>
      </c>
      <c r="E29" s="35">
        <v>102.49484925643752</v>
      </c>
      <c r="F29" s="9">
        <v>4571334</v>
      </c>
    </row>
    <row r="30" spans="1:6" s="9" customFormat="1" ht="15" x14ac:dyDescent="0.2">
      <c r="A30" s="33" t="s">
        <v>31</v>
      </c>
      <c r="B30" s="38">
        <v>30000000</v>
      </c>
      <c r="C30" s="23">
        <v>33840</v>
      </c>
      <c r="D30" s="26">
        <v>6.18</v>
      </c>
      <c r="E30" s="35">
        <v>164.79778701004059</v>
      </c>
      <c r="F30" s="9">
        <v>1267380</v>
      </c>
    </row>
    <row r="31" spans="1:6" s="9" customFormat="1" ht="15" x14ac:dyDescent="0.2">
      <c r="A31" s="33" t="s">
        <v>32</v>
      </c>
      <c r="B31" s="34" t="s">
        <v>96</v>
      </c>
      <c r="C31" s="23">
        <v>487005</v>
      </c>
      <c r="D31" s="26">
        <v>6.09</v>
      </c>
      <c r="E31" s="35">
        <v>77.974393467246969</v>
      </c>
      <c r="F31" s="9">
        <v>16843339</v>
      </c>
    </row>
    <row r="32" spans="1:6" s="9" customFormat="1" ht="15" x14ac:dyDescent="0.2">
      <c r="A32" s="33" t="s">
        <v>33</v>
      </c>
      <c r="B32" s="34" t="s">
        <v>97</v>
      </c>
      <c r="C32" s="23">
        <v>269209</v>
      </c>
      <c r="D32" s="26">
        <v>6.11</v>
      </c>
      <c r="E32" s="35">
        <v>99.25940760720151</v>
      </c>
      <c r="F32" s="9">
        <v>10190890</v>
      </c>
    </row>
    <row r="33" spans="1:6" s="9" customFormat="1" ht="15" x14ac:dyDescent="0.2">
      <c r="A33" s="33" t="s">
        <v>34</v>
      </c>
      <c r="B33" s="38">
        <v>57000000</v>
      </c>
      <c r="C33" s="23">
        <v>293196</v>
      </c>
      <c r="D33" s="26">
        <v>6.05</v>
      </c>
      <c r="E33" s="35">
        <v>82.240336486313055</v>
      </c>
      <c r="F33" s="9">
        <v>12357484</v>
      </c>
    </row>
    <row r="34" spans="1:6" s="9" customFormat="1" ht="15" x14ac:dyDescent="0.2">
      <c r="A34" s="33" t="s">
        <v>35</v>
      </c>
      <c r="B34" s="34" t="s">
        <v>98</v>
      </c>
      <c r="C34" s="23">
        <v>220470</v>
      </c>
      <c r="D34" s="26">
        <v>6.07</v>
      </c>
      <c r="E34" s="35">
        <v>98.780767289656154</v>
      </c>
      <c r="F34" s="9">
        <v>6746386</v>
      </c>
    </row>
    <row r="35" spans="1:6" s="9" customFormat="1" ht="15" x14ac:dyDescent="0.2">
      <c r="A35" s="33" t="s">
        <v>36</v>
      </c>
      <c r="B35" s="34" t="s">
        <v>99</v>
      </c>
      <c r="C35" s="23">
        <v>234259</v>
      </c>
      <c r="D35" s="26">
        <v>6.05</v>
      </c>
      <c r="E35" s="35">
        <v>80.722346414266951</v>
      </c>
      <c r="F35" s="9">
        <v>7773610</v>
      </c>
    </row>
    <row r="36" spans="1:6" s="9" customFormat="1" ht="15" x14ac:dyDescent="0.2">
      <c r="A36" s="33" t="s">
        <v>37</v>
      </c>
      <c r="B36" s="34" t="s">
        <v>100</v>
      </c>
      <c r="C36" s="23">
        <v>146878</v>
      </c>
      <c r="D36" s="26">
        <v>6.12</v>
      </c>
      <c r="E36" s="35">
        <v>110.21912200192321</v>
      </c>
      <c r="F36" s="9">
        <v>4679038</v>
      </c>
    </row>
    <row r="37" spans="1:6" s="9" customFormat="1" ht="15" x14ac:dyDescent="0.2">
      <c r="A37" s="33" t="s">
        <v>38</v>
      </c>
      <c r="B37" s="38">
        <v>10000000</v>
      </c>
      <c r="C37" s="23">
        <v>82491</v>
      </c>
      <c r="D37" s="26">
        <v>6</v>
      </c>
      <c r="E37" s="35">
        <v>136.20424783432395</v>
      </c>
      <c r="F37" s="9">
        <v>4061322</v>
      </c>
    </row>
    <row r="38" spans="1:6" s="9" customFormat="1" ht="15" x14ac:dyDescent="0.2">
      <c r="A38" s="33" t="s">
        <v>39</v>
      </c>
      <c r="B38" s="38">
        <v>11000000</v>
      </c>
      <c r="C38" s="23">
        <v>109897</v>
      </c>
      <c r="D38" s="26">
        <v>6.04</v>
      </c>
      <c r="E38" s="35">
        <v>110.3548212896137</v>
      </c>
      <c r="F38" s="9">
        <v>5508638</v>
      </c>
    </row>
    <row r="39" spans="1:6" s="9" customFormat="1" ht="15" x14ac:dyDescent="0.2">
      <c r="A39" s="33" t="s">
        <v>40</v>
      </c>
      <c r="B39" s="38">
        <v>12000000</v>
      </c>
      <c r="C39" s="23">
        <v>94690</v>
      </c>
      <c r="D39" s="26">
        <v>6.01</v>
      </c>
      <c r="E39" s="35">
        <v>81.967613857435794</v>
      </c>
      <c r="F39" s="9">
        <v>3601640</v>
      </c>
    </row>
    <row r="40" spans="1:6" s="9" customFormat="1" ht="15" x14ac:dyDescent="0.2">
      <c r="A40" s="33" t="s">
        <v>41</v>
      </c>
      <c r="B40" s="38">
        <v>14000000</v>
      </c>
      <c r="C40" s="23">
        <v>131140</v>
      </c>
      <c r="D40" s="26">
        <v>5.96</v>
      </c>
      <c r="E40" s="35">
        <v>80.751649243470297</v>
      </c>
      <c r="F40" s="9">
        <v>4637885</v>
      </c>
    </row>
    <row r="41" spans="1:6" s="9" customFormat="1" ht="15" x14ac:dyDescent="0.2">
      <c r="A41" s="33" t="s">
        <v>42</v>
      </c>
      <c r="B41" s="38">
        <v>15000000</v>
      </c>
      <c r="C41" s="23">
        <v>130961</v>
      </c>
      <c r="D41" s="26">
        <v>6.05</v>
      </c>
      <c r="E41" s="35">
        <v>74.207684999116196</v>
      </c>
      <c r="F41" s="9">
        <v>6838948</v>
      </c>
    </row>
    <row r="42" spans="1:6" s="9" customFormat="1" ht="15" x14ac:dyDescent="0.2">
      <c r="A42" s="33" t="s">
        <v>43</v>
      </c>
      <c r="B42" s="38">
        <v>17000000</v>
      </c>
      <c r="C42" s="23">
        <v>138679</v>
      </c>
      <c r="D42" s="26">
        <v>6</v>
      </c>
      <c r="E42" s="35">
        <v>79.031489258181523</v>
      </c>
      <c r="F42" s="9">
        <v>5890323</v>
      </c>
    </row>
    <row r="43" spans="1:6" s="9" customFormat="1" ht="15" x14ac:dyDescent="0.2">
      <c r="A43" s="33" t="s">
        <v>44</v>
      </c>
      <c r="B43" s="38">
        <v>18000000</v>
      </c>
      <c r="C43" s="23">
        <v>229102</v>
      </c>
      <c r="D43" s="26">
        <v>5.97</v>
      </c>
      <c r="E43" s="35">
        <v>69.792381476847069</v>
      </c>
      <c r="F43" s="9">
        <v>9159337</v>
      </c>
    </row>
    <row r="44" spans="1:6" s="9" customFormat="1" ht="15" x14ac:dyDescent="0.2">
      <c r="A44" s="33" t="s">
        <v>45</v>
      </c>
      <c r="B44" s="38">
        <v>19000000</v>
      </c>
      <c r="C44" s="23">
        <v>119801</v>
      </c>
      <c r="D44" s="26">
        <v>6.05</v>
      </c>
      <c r="E44" s="35">
        <v>95.237267077324205</v>
      </c>
      <c r="F44" s="9">
        <v>6649456</v>
      </c>
    </row>
    <row r="45" spans="1:6" s="9" customFormat="1" ht="15" x14ac:dyDescent="0.2">
      <c r="A45" s="33" t="s">
        <v>46</v>
      </c>
      <c r="B45" s="38">
        <v>20000000</v>
      </c>
      <c r="C45" s="23">
        <v>269595</v>
      </c>
      <c r="D45" s="26">
        <v>6.05</v>
      </c>
      <c r="E45" s="35">
        <v>76.310805965427591</v>
      </c>
      <c r="F45" s="9">
        <v>9124765</v>
      </c>
    </row>
    <row r="46" spans="1:6" s="9" customFormat="1" ht="15" x14ac:dyDescent="0.2">
      <c r="A46" s="33" t="s">
        <v>47</v>
      </c>
      <c r="B46" s="38">
        <v>24000000</v>
      </c>
      <c r="C46" s="23">
        <v>99462</v>
      </c>
      <c r="D46" s="26">
        <v>6.01</v>
      </c>
      <c r="E46" s="35">
        <v>79.968607782691706</v>
      </c>
      <c r="F46" s="9">
        <v>4957799</v>
      </c>
    </row>
    <row r="47" spans="1:6" s="9" customFormat="1" ht="15" x14ac:dyDescent="0.2">
      <c r="A47" s="33" t="s">
        <v>48</v>
      </c>
      <c r="B47" s="38">
        <v>25000000</v>
      </c>
      <c r="C47" s="23">
        <v>281742</v>
      </c>
      <c r="D47" s="26">
        <v>6.24</v>
      </c>
      <c r="E47" s="35">
        <v>106.71782338952373</v>
      </c>
      <c r="F47" s="9">
        <v>8618206</v>
      </c>
    </row>
    <row r="48" spans="1:6" s="9" customFormat="1" ht="15" x14ac:dyDescent="0.2">
      <c r="A48" s="33" t="s">
        <v>49</v>
      </c>
      <c r="B48" s="38">
        <v>27000000</v>
      </c>
      <c r="C48" s="23">
        <v>96183</v>
      </c>
      <c r="D48" s="26">
        <v>6.07</v>
      </c>
      <c r="E48" s="35">
        <v>75.120243481595423</v>
      </c>
      <c r="F48" s="9">
        <v>2445385</v>
      </c>
    </row>
    <row r="49" spans="1:6" s="9" customFormat="1" ht="15" x14ac:dyDescent="0.2">
      <c r="A49" s="33" t="s">
        <v>50</v>
      </c>
      <c r="B49" s="38">
        <v>29000000</v>
      </c>
      <c r="C49" s="23">
        <v>102955</v>
      </c>
      <c r="D49" s="26">
        <v>6.13</v>
      </c>
      <c r="E49" s="35">
        <v>82.396186431270223</v>
      </c>
      <c r="F49" s="9">
        <v>4169400</v>
      </c>
    </row>
    <row r="50" spans="1:6" s="9" customFormat="1" ht="15" x14ac:dyDescent="0.2">
      <c r="A50" s="33" t="s">
        <v>51</v>
      </c>
      <c r="B50" s="38">
        <v>32000000</v>
      </c>
      <c r="C50" s="23">
        <v>321630</v>
      </c>
      <c r="D50" s="26">
        <v>6.01</v>
      </c>
      <c r="E50" s="35">
        <v>74.934612515751581</v>
      </c>
      <c r="F50" s="9">
        <v>10463399</v>
      </c>
    </row>
    <row r="51" spans="1:6" s="9" customFormat="1" ht="15" x14ac:dyDescent="0.2">
      <c r="A51" s="33" t="s">
        <v>52</v>
      </c>
      <c r="B51" s="38">
        <v>33000000</v>
      </c>
      <c r="C51" s="23">
        <v>92504</v>
      </c>
      <c r="D51" s="26">
        <v>6.01</v>
      </c>
      <c r="E51" s="35">
        <v>110.38697873505789</v>
      </c>
      <c r="F51" s="9">
        <v>9047727</v>
      </c>
    </row>
    <row r="52" spans="1:6" s="9" customFormat="1" ht="15" x14ac:dyDescent="0.2">
      <c r="A52" s="33" t="s">
        <v>53</v>
      </c>
      <c r="B52" s="38">
        <v>34000000</v>
      </c>
      <c r="C52" s="23">
        <v>65748</v>
      </c>
      <c r="D52" s="26">
        <v>5.96</v>
      </c>
      <c r="E52" s="35">
        <v>84.797639036034568</v>
      </c>
      <c r="F52" s="9">
        <v>3727520</v>
      </c>
    </row>
    <row r="53" spans="1:6" s="9" customFormat="1" ht="15" x14ac:dyDescent="0.2">
      <c r="A53" s="33" t="s">
        <v>54</v>
      </c>
      <c r="B53" s="38">
        <v>37000000</v>
      </c>
      <c r="C53" s="23">
        <v>99077</v>
      </c>
      <c r="D53" s="26">
        <v>5.95</v>
      </c>
      <c r="E53" s="35">
        <v>86.820037328287384</v>
      </c>
      <c r="F53" s="9">
        <v>5079127</v>
      </c>
    </row>
    <row r="54" spans="1:6" s="9" customFormat="1" ht="15" x14ac:dyDescent="0.2">
      <c r="A54" s="33" t="s">
        <v>55</v>
      </c>
      <c r="B54" s="38">
        <v>38000000</v>
      </c>
      <c r="C54" s="23">
        <v>110861</v>
      </c>
      <c r="D54" s="26">
        <v>6.04</v>
      </c>
      <c r="E54" s="35">
        <v>77.267536865462105</v>
      </c>
      <c r="F54" s="9">
        <v>5565575</v>
      </c>
    </row>
    <row r="55" spans="1:6" s="9" customFormat="1" ht="15" x14ac:dyDescent="0.2">
      <c r="A55" s="33" t="s">
        <v>56</v>
      </c>
      <c r="B55" s="38">
        <v>41000000</v>
      </c>
      <c r="C55" s="23">
        <v>144063</v>
      </c>
      <c r="D55" s="26">
        <v>6.11</v>
      </c>
      <c r="E55" s="35">
        <v>82.094144108389116</v>
      </c>
      <c r="F55" s="9">
        <v>5110966</v>
      </c>
    </row>
    <row r="56" spans="1:6" s="9" customFormat="1" ht="15" x14ac:dyDescent="0.2">
      <c r="A56" s="33" t="s">
        <v>57</v>
      </c>
      <c r="B56" s="38">
        <v>42000000</v>
      </c>
      <c r="C56" s="23">
        <v>111429</v>
      </c>
      <c r="D56" s="26">
        <v>5.98</v>
      </c>
      <c r="E56" s="35">
        <v>82.727653737340802</v>
      </c>
      <c r="F56" s="9">
        <v>5072779</v>
      </c>
    </row>
    <row r="57" spans="1:6" s="9" customFormat="1" ht="15" x14ac:dyDescent="0.2">
      <c r="A57" s="33" t="s">
        <v>58</v>
      </c>
      <c r="B57" s="38">
        <v>44000000</v>
      </c>
      <c r="C57" s="23">
        <v>17833</v>
      </c>
      <c r="D57" s="26">
        <v>6.15</v>
      </c>
      <c r="E57" s="35">
        <v>157.4363520648109</v>
      </c>
      <c r="F57" s="9">
        <v>887212</v>
      </c>
    </row>
    <row r="58" spans="1:6" s="9" customFormat="1" ht="15" x14ac:dyDescent="0.2">
      <c r="A58" s="33" t="s">
        <v>59</v>
      </c>
      <c r="B58" s="38">
        <v>46000000</v>
      </c>
      <c r="C58" s="23">
        <v>728240</v>
      </c>
      <c r="D58" s="26">
        <v>6.04</v>
      </c>
      <c r="E58" s="35">
        <v>65.610442420158435</v>
      </c>
      <c r="F58" s="9">
        <v>22054224</v>
      </c>
    </row>
    <row r="59" spans="1:6" s="9" customFormat="1" ht="15" x14ac:dyDescent="0.2">
      <c r="A59" s="33" t="s">
        <v>60</v>
      </c>
      <c r="B59" s="38">
        <v>47000000</v>
      </c>
      <c r="C59" s="23">
        <v>52510</v>
      </c>
      <c r="D59" s="26">
        <v>5.95</v>
      </c>
      <c r="E59" s="35">
        <v>131.88914729504233</v>
      </c>
      <c r="F59" s="9">
        <v>2622046</v>
      </c>
    </row>
    <row r="60" spans="1:6" s="9" customFormat="1" ht="15" x14ac:dyDescent="0.2">
      <c r="A60" s="33" t="s">
        <v>61</v>
      </c>
      <c r="B60" s="38">
        <v>22000000</v>
      </c>
      <c r="C60" s="23">
        <v>304084</v>
      </c>
      <c r="D60" s="26">
        <v>6</v>
      </c>
      <c r="E60" s="35">
        <v>62.257959113638591</v>
      </c>
      <c r="F60" s="9">
        <v>14643523</v>
      </c>
    </row>
    <row r="61" spans="1:6" s="9" customFormat="1" ht="15" x14ac:dyDescent="0.2">
      <c r="A61" s="33" t="s">
        <v>62</v>
      </c>
      <c r="B61" s="38">
        <v>49000000</v>
      </c>
      <c r="C61" s="23">
        <v>70292</v>
      </c>
      <c r="D61" s="26">
        <v>6.01</v>
      </c>
      <c r="E61" s="35">
        <v>82.435647406839948</v>
      </c>
      <c r="F61" s="9">
        <v>3067267</v>
      </c>
    </row>
    <row r="62" spans="1:6" s="9" customFormat="1" ht="15" x14ac:dyDescent="0.2">
      <c r="A62" s="33" t="s">
        <v>63</v>
      </c>
      <c r="B62" s="38">
        <v>50000000</v>
      </c>
      <c r="C62" s="23">
        <v>252518</v>
      </c>
      <c r="D62" s="26">
        <v>5.99</v>
      </c>
      <c r="E62" s="35">
        <v>86.011460564549338</v>
      </c>
      <c r="F62" s="9">
        <v>10018194</v>
      </c>
    </row>
    <row r="63" spans="1:6" s="9" customFormat="1" ht="15" x14ac:dyDescent="0.2">
      <c r="A63" s="33" t="s">
        <v>64</v>
      </c>
      <c r="B63" s="38">
        <v>52000000</v>
      </c>
      <c r="C63" s="23">
        <v>198105</v>
      </c>
      <c r="D63" s="26">
        <v>5.94</v>
      </c>
      <c r="E63" s="35">
        <v>61.3440665995562</v>
      </c>
      <c r="F63" s="9">
        <v>7429326</v>
      </c>
    </row>
    <row r="64" spans="1:6" s="9" customFormat="1" ht="15" x14ac:dyDescent="0.2">
      <c r="A64" s="33" t="s">
        <v>65</v>
      </c>
      <c r="B64" s="38">
        <v>53000000</v>
      </c>
      <c r="C64" s="23">
        <v>189771</v>
      </c>
      <c r="D64" s="26">
        <v>6</v>
      </c>
      <c r="E64" s="35">
        <v>84.591107051113582</v>
      </c>
      <c r="F64" s="9">
        <v>8282559</v>
      </c>
    </row>
    <row r="65" spans="1:7" s="9" customFormat="1" ht="15" x14ac:dyDescent="0.2">
      <c r="A65" s="33" t="s">
        <v>66</v>
      </c>
      <c r="B65" s="38">
        <v>54000000</v>
      </c>
      <c r="C65" s="23">
        <v>135681</v>
      </c>
      <c r="D65" s="26">
        <v>5.93</v>
      </c>
      <c r="E65" s="35">
        <v>70.556833606603206</v>
      </c>
      <c r="F65" s="9">
        <v>6918800</v>
      </c>
    </row>
    <row r="66" spans="1:7" s="9" customFormat="1" ht="15" x14ac:dyDescent="0.2">
      <c r="A66" s="33" t="s">
        <v>67</v>
      </c>
      <c r="B66" s="38">
        <v>56000000</v>
      </c>
      <c r="C66" s="23">
        <v>117471</v>
      </c>
      <c r="D66" s="26">
        <v>5.93</v>
      </c>
      <c r="E66" s="35">
        <v>79.582161245400258</v>
      </c>
      <c r="F66" s="9">
        <v>6982857</v>
      </c>
    </row>
    <row r="67" spans="1:7" s="9" customFormat="1" ht="15" x14ac:dyDescent="0.2">
      <c r="A67" s="33" t="s">
        <v>68</v>
      </c>
      <c r="B67" s="38">
        <v>58000000</v>
      </c>
      <c r="C67" s="23">
        <v>69314</v>
      </c>
      <c r="D67" s="26">
        <v>5.94</v>
      </c>
      <c r="E67" s="35">
        <v>79.890023265229161</v>
      </c>
      <c r="F67" s="9">
        <v>3938063</v>
      </c>
    </row>
    <row r="68" spans="1:7" s="9" customFormat="1" ht="15" x14ac:dyDescent="0.2">
      <c r="A68" s="33" t="s">
        <v>69</v>
      </c>
      <c r="B68" s="38">
        <v>60000000</v>
      </c>
      <c r="C68" s="23">
        <v>405192</v>
      </c>
      <c r="D68" s="26">
        <v>6.11</v>
      </c>
      <c r="E68" s="35">
        <v>74.46398516709128</v>
      </c>
      <c r="F68" s="9">
        <v>14032321</v>
      </c>
    </row>
    <row r="69" spans="1:7" s="9" customFormat="1" ht="15" x14ac:dyDescent="0.2">
      <c r="A69" s="33" t="s">
        <v>70</v>
      </c>
      <c r="B69" s="38">
        <v>61000000</v>
      </c>
      <c r="C69" s="23">
        <v>110741</v>
      </c>
      <c r="D69" s="26">
        <v>6.07</v>
      </c>
      <c r="E69" s="35">
        <v>78.40677502397844</v>
      </c>
      <c r="F69" s="9">
        <v>5719008</v>
      </c>
    </row>
    <row r="70" spans="1:7" s="9" customFormat="1" ht="15" x14ac:dyDescent="0.2">
      <c r="A70" s="33" t="s">
        <v>71</v>
      </c>
      <c r="B70" s="38">
        <v>36000000</v>
      </c>
      <c r="C70" s="23">
        <v>318186</v>
      </c>
      <c r="D70" s="26">
        <v>6.09</v>
      </c>
      <c r="E70" s="35">
        <v>77.45284779438613</v>
      </c>
      <c r="F70" s="9">
        <v>10672824</v>
      </c>
    </row>
    <row r="71" spans="1:7" s="9" customFormat="1" ht="15" x14ac:dyDescent="0.2">
      <c r="A71" s="33" t="s">
        <v>72</v>
      </c>
      <c r="B71" s="38">
        <v>63000000</v>
      </c>
      <c r="C71" s="23">
        <v>217637</v>
      </c>
      <c r="D71" s="26">
        <v>6.1</v>
      </c>
      <c r="E71" s="35">
        <v>82.820616221726326</v>
      </c>
      <c r="F71" s="9">
        <v>9873581</v>
      </c>
    </row>
    <row r="72" spans="1:7" s="9" customFormat="1" ht="15" x14ac:dyDescent="0.2">
      <c r="A72" s="33" t="s">
        <v>73</v>
      </c>
      <c r="B72" s="38">
        <v>64000000</v>
      </c>
      <c r="C72" s="23">
        <v>62173</v>
      </c>
      <c r="D72" s="26">
        <v>6.11</v>
      </c>
      <c r="E72" s="35">
        <v>125.9715087621211</v>
      </c>
      <c r="F72" s="9">
        <v>2162969</v>
      </c>
    </row>
    <row r="73" spans="1:7" s="9" customFormat="1" ht="15" x14ac:dyDescent="0.2">
      <c r="A73" s="33" t="s">
        <v>74</v>
      </c>
      <c r="B73" s="38">
        <v>65000000</v>
      </c>
      <c r="C73" s="23">
        <v>407695</v>
      </c>
      <c r="D73" s="26">
        <v>6.05</v>
      </c>
      <c r="E73" s="35">
        <v>90.228260752799883</v>
      </c>
      <c r="F73" s="9">
        <v>16914031</v>
      </c>
    </row>
    <row r="74" spans="1:7" s="9" customFormat="1" ht="15" x14ac:dyDescent="0.2">
      <c r="A74" s="33" t="s">
        <v>75</v>
      </c>
      <c r="B74" s="38">
        <v>66000000</v>
      </c>
      <c r="C74" s="23">
        <v>116429</v>
      </c>
      <c r="D74" s="26">
        <v>6</v>
      </c>
      <c r="E74" s="35">
        <v>83.33494173228344</v>
      </c>
      <c r="F74" s="9">
        <v>5453773</v>
      </c>
    </row>
    <row r="75" spans="1:7" s="9" customFormat="1" ht="15" x14ac:dyDescent="0.2">
      <c r="A75" s="33" t="s">
        <v>76</v>
      </c>
      <c r="B75" s="38">
        <v>68000000</v>
      </c>
      <c r="C75" s="23">
        <v>105305</v>
      </c>
      <c r="D75" s="26">
        <v>5.97</v>
      </c>
      <c r="E75" s="35">
        <v>83.763085774712579</v>
      </c>
      <c r="F75" s="9">
        <v>6507477</v>
      </c>
    </row>
    <row r="76" spans="1:7" s="9" customFormat="1" ht="15" x14ac:dyDescent="0.2">
      <c r="A76" s="33" t="s">
        <v>77</v>
      </c>
      <c r="B76" s="38">
        <v>28000000</v>
      </c>
      <c r="C76" s="23">
        <v>135424</v>
      </c>
      <c r="D76" s="26">
        <v>5.86</v>
      </c>
      <c r="E76" s="35">
        <v>65.596971907717545</v>
      </c>
      <c r="F76" s="9">
        <v>7161111</v>
      </c>
    </row>
    <row r="77" spans="1:7" s="9" customFormat="1" ht="15" x14ac:dyDescent="0.2">
      <c r="A77" s="33" t="s">
        <v>78</v>
      </c>
      <c r="B77" s="38">
        <v>69000000</v>
      </c>
      <c r="C77" s="23">
        <v>105502</v>
      </c>
      <c r="D77" s="26">
        <v>6.16</v>
      </c>
      <c r="E77" s="35">
        <v>80.359477296149052</v>
      </c>
      <c r="F77" s="9">
        <v>3444865</v>
      </c>
    </row>
    <row r="78" spans="1:7" s="9" customFormat="1" ht="15" x14ac:dyDescent="0.2">
      <c r="A78" s="33" t="s">
        <v>79</v>
      </c>
      <c r="B78" s="38">
        <v>70000000</v>
      </c>
      <c r="C78" s="23">
        <v>145447</v>
      </c>
      <c r="D78" s="26">
        <v>6.09</v>
      </c>
      <c r="E78" s="35">
        <v>86.513233683890562</v>
      </c>
      <c r="F78" s="9">
        <v>7102076</v>
      </c>
    </row>
    <row r="79" spans="1:7" s="9" customFormat="1" ht="15" x14ac:dyDescent="0.2">
      <c r="A79" s="33" t="s">
        <v>80</v>
      </c>
      <c r="B79" s="38">
        <v>71000000</v>
      </c>
      <c r="C79" s="23">
        <v>162084</v>
      </c>
      <c r="D79" s="26">
        <v>6.08</v>
      </c>
      <c r="E79" s="35">
        <v>85.20943002415305</v>
      </c>
      <c r="F79" s="9">
        <v>4913699</v>
      </c>
    </row>
    <row r="80" spans="1:7" s="11" customFormat="1" ht="15" x14ac:dyDescent="0.2">
      <c r="A80" s="33" t="s">
        <v>81</v>
      </c>
      <c r="B80" s="38">
        <v>73000000</v>
      </c>
      <c r="C80" s="23">
        <v>148171</v>
      </c>
      <c r="D80" s="26">
        <v>5.67</v>
      </c>
      <c r="E80" s="35">
        <v>73.382497659899002</v>
      </c>
      <c r="F80" s="10">
        <v>5035375</v>
      </c>
      <c r="G80" s="10"/>
    </row>
    <row r="81" spans="1:6" s="10" customFormat="1" ht="15" x14ac:dyDescent="0.2">
      <c r="A81" s="33" t="s">
        <v>82</v>
      </c>
      <c r="B81" s="38">
        <v>75000000</v>
      </c>
      <c r="C81" s="23">
        <v>346624</v>
      </c>
      <c r="D81" s="26">
        <v>6.16</v>
      </c>
      <c r="E81" s="35">
        <v>85.329169037018005</v>
      </c>
      <c r="F81" s="10">
        <v>12520155</v>
      </c>
    </row>
    <row r="82" spans="1:6" s="10" customFormat="1" ht="15" x14ac:dyDescent="0.2">
      <c r="A82" s="33" t="s">
        <v>83</v>
      </c>
      <c r="B82" s="38">
        <v>78000000</v>
      </c>
      <c r="C82" s="23">
        <v>118707</v>
      </c>
      <c r="D82" s="26">
        <v>5.97</v>
      </c>
      <c r="E82" s="35">
        <v>78.875575237084149</v>
      </c>
      <c r="F82" s="10">
        <v>5920603</v>
      </c>
    </row>
    <row r="83" spans="1:6" s="10" customFormat="1" ht="25.5" x14ac:dyDescent="0.2">
      <c r="A83" s="33" t="s">
        <v>84</v>
      </c>
      <c r="B83" s="38">
        <v>45000000</v>
      </c>
      <c r="C83" s="22">
        <v>924563</v>
      </c>
      <c r="D83" s="25">
        <v>6.05</v>
      </c>
      <c r="E83" s="35">
        <v>66.229947758158644</v>
      </c>
      <c r="F83" s="10">
        <v>26769346</v>
      </c>
    </row>
    <row r="84" spans="1:6" s="10" customFormat="1" ht="25.5" x14ac:dyDescent="0.2">
      <c r="A84" s="33" t="s">
        <v>85</v>
      </c>
      <c r="B84" s="38">
        <v>40000000</v>
      </c>
      <c r="C84" s="22">
        <v>371843</v>
      </c>
      <c r="D84" s="25">
        <v>5.99</v>
      </c>
      <c r="E84" s="35">
        <v>62.893058072735457</v>
      </c>
      <c r="F84" s="10">
        <v>15653650</v>
      </c>
    </row>
    <row r="85" spans="1:6" s="10" customFormat="1" ht="25.5" x14ac:dyDescent="0.2">
      <c r="A85" s="33" t="s">
        <v>86</v>
      </c>
      <c r="B85" s="38">
        <v>67000000</v>
      </c>
      <c r="C85" s="23">
        <v>59343</v>
      </c>
      <c r="D85" s="26">
        <v>6.42</v>
      </c>
      <c r="E85" s="37">
        <v>94.86</v>
      </c>
      <c r="F85" s="10">
        <v>913318</v>
      </c>
    </row>
    <row r="86" spans="1:6" s="9" customFormat="1" ht="15" x14ac:dyDescent="0.2">
      <c r="A86" s="33" t="s">
        <v>87</v>
      </c>
      <c r="B86" s="38">
        <v>99000000</v>
      </c>
      <c r="C86" s="23">
        <v>18646</v>
      </c>
      <c r="D86" s="26">
        <v>5.99</v>
      </c>
      <c r="E86" s="35">
        <v>114.02662810113901</v>
      </c>
      <c r="F86" s="9">
        <v>682464</v>
      </c>
    </row>
    <row r="87" spans="1:6" s="9" customFormat="1" ht="15" x14ac:dyDescent="0.2">
      <c r="A87" s="33" t="s">
        <v>88</v>
      </c>
      <c r="B87" s="38">
        <v>11800000</v>
      </c>
      <c r="C87" s="23">
        <v>4550</v>
      </c>
      <c r="D87" s="26">
        <v>6.29</v>
      </c>
      <c r="E87" s="35">
        <v>186.98414262686836</v>
      </c>
      <c r="F87" s="9">
        <v>161538</v>
      </c>
    </row>
    <row r="88" spans="1:6" s="9" customFormat="1" ht="25.5" x14ac:dyDescent="0.2">
      <c r="A88" s="33" t="s">
        <v>89</v>
      </c>
      <c r="B88" s="38">
        <v>71800000</v>
      </c>
      <c r="C88" s="23">
        <v>186016</v>
      </c>
      <c r="D88" s="26">
        <v>5.9</v>
      </c>
      <c r="E88" s="35">
        <v>125.44871160989941</v>
      </c>
      <c r="F88" s="9">
        <v>2473120</v>
      </c>
    </row>
    <row r="89" spans="1:6" s="9" customFormat="1" ht="15" x14ac:dyDescent="0.2">
      <c r="A89" s="33" t="s">
        <v>90</v>
      </c>
      <c r="B89" s="38">
        <v>77000000</v>
      </c>
      <c r="C89" s="23">
        <v>5934</v>
      </c>
      <c r="D89" s="27">
        <v>6.24</v>
      </c>
      <c r="E89" s="35">
        <v>409.07174109518456</v>
      </c>
      <c r="F89" s="9">
        <v>282474</v>
      </c>
    </row>
    <row r="90" spans="1:6" s="9" customFormat="1" ht="25.5" x14ac:dyDescent="0.2">
      <c r="A90" s="33" t="s">
        <v>91</v>
      </c>
      <c r="B90" s="38">
        <v>71900000</v>
      </c>
      <c r="C90" s="23">
        <v>72151</v>
      </c>
      <c r="D90" s="29">
        <v>5.74</v>
      </c>
      <c r="E90" s="35">
        <v>135.60877936452351</v>
      </c>
      <c r="F90" s="9">
        <v>854953</v>
      </c>
    </row>
    <row r="91" spans="1:6" s="9" customFormat="1" x14ac:dyDescent="0.2">
      <c r="A91" s="12" t="s">
        <v>5</v>
      </c>
      <c r="B91" s="13"/>
      <c r="C91" s="14" t="s">
        <v>92</v>
      </c>
      <c r="D91" s="28" t="s">
        <v>92</v>
      </c>
      <c r="E91" s="14" t="s">
        <v>92</v>
      </c>
    </row>
    <row r="92" spans="1:6" s="9" customFormat="1" x14ac:dyDescent="0.2">
      <c r="A92" s="15" t="s">
        <v>4</v>
      </c>
      <c r="B92" s="13"/>
      <c r="C92" s="14">
        <f>SUM(C6:C90)</f>
        <v>14168732</v>
      </c>
      <c r="D92" s="41"/>
      <c r="E92" s="16"/>
    </row>
    <row r="93" spans="1:6" s="9" customFormat="1" x14ac:dyDescent="0.2">
      <c r="A93" s="17"/>
      <c r="B93" s="17"/>
      <c r="C93" s="18"/>
      <c r="D93" s="19"/>
      <c r="E93" s="20"/>
    </row>
    <row r="94" spans="1:6" s="2" customFormat="1" x14ac:dyDescent="0.2">
      <c r="A94" s="2" t="s">
        <v>3</v>
      </c>
    </row>
    <row r="95" spans="1:6" s="21" customFormat="1" x14ac:dyDescent="0.2">
      <c r="A95" s="107" t="s">
        <v>2</v>
      </c>
      <c r="B95" s="107"/>
      <c r="C95" s="107"/>
      <c r="D95" s="107"/>
      <c r="E95" s="107"/>
    </row>
    <row r="96" spans="1:6" s="21" customFormat="1" x14ac:dyDescent="0.2">
      <c r="A96" s="3" t="s">
        <v>6</v>
      </c>
      <c r="B96" s="3"/>
      <c r="C96" s="3"/>
      <c r="D96" s="3"/>
      <c r="E96" s="3"/>
    </row>
    <row r="97" spans="1:5" s="21" customFormat="1" x14ac:dyDescent="0.2">
      <c r="A97" s="3"/>
      <c r="B97" s="3"/>
      <c r="C97" s="3"/>
      <c r="D97" s="3"/>
      <c r="E97" s="1"/>
    </row>
  </sheetData>
  <autoFilter ref="A5:G96"/>
  <mergeCells count="5">
    <mergeCell ref="A95:E95"/>
    <mergeCell ref="A1:E1"/>
    <mergeCell ref="A2:A4"/>
    <mergeCell ref="B2:B4"/>
    <mergeCell ref="C2:E3"/>
  </mergeCells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9"/>
  <sheetViews>
    <sheetView view="pageBreakPreview" zoomScale="80" zoomScaleNormal="75" zoomScaleSheetLayoutView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26" sqref="E26"/>
    </sheetView>
  </sheetViews>
  <sheetFormatPr defaultRowHeight="15" x14ac:dyDescent="0.25"/>
  <cols>
    <col min="1" max="1" width="6.5703125" style="48" customWidth="1"/>
    <col min="2" max="2" width="37.140625" style="47" customWidth="1"/>
    <col min="3" max="6" width="19.5703125" style="47" customWidth="1"/>
    <col min="7" max="7" width="8.5703125" style="48" customWidth="1"/>
    <col min="8" max="8" width="9.28515625" style="47" customWidth="1"/>
    <col min="9" max="149" width="9.140625" style="47"/>
    <col min="150" max="150" width="35.5703125" style="47" customWidth="1"/>
    <col min="151" max="151" width="19.140625" style="47" customWidth="1"/>
    <col min="152" max="152" width="18.5703125" style="47" customWidth="1"/>
    <col min="153" max="153" width="17.7109375" style="47" customWidth="1"/>
    <col min="154" max="154" width="20.140625" style="47" customWidth="1"/>
    <col min="155" max="155" width="12.140625" style="47" customWidth="1"/>
    <col min="156" max="165" width="9.140625" style="47" customWidth="1"/>
    <col min="166" max="166" width="14.5703125" style="47" customWidth="1"/>
    <col min="167" max="167" width="11.140625" style="47" customWidth="1"/>
    <col min="168" max="168" width="13.140625" style="47" customWidth="1"/>
    <col min="169" max="169" width="12.140625" style="47" customWidth="1"/>
    <col min="170" max="170" width="7.42578125" style="47" customWidth="1"/>
    <col min="171" max="171" width="13.28515625" style="47" customWidth="1"/>
    <col min="172" max="172" width="13.140625" style="47" customWidth="1"/>
    <col min="173" max="173" width="10.85546875" style="47" customWidth="1"/>
    <col min="174" max="174" width="14.28515625" style="47" customWidth="1"/>
    <col min="175" max="175" width="10.140625" style="47" customWidth="1"/>
    <col min="176" max="176" width="7.28515625" style="47" customWidth="1"/>
    <col min="177" max="177" width="11.85546875" style="47" customWidth="1"/>
    <col min="178" max="178" width="11.28515625" style="47" customWidth="1"/>
    <col min="179" max="179" width="8.85546875" style="47" customWidth="1"/>
    <col min="180" max="180" width="12.7109375" style="47" customWidth="1"/>
    <col min="181" max="183" width="9.140625" style="47" customWidth="1"/>
    <col min="184" max="184" width="11.42578125" style="47" customWidth="1"/>
    <col min="185" max="185" width="8.140625" style="47" customWidth="1"/>
    <col min="186" max="186" width="13.85546875" style="47" customWidth="1"/>
    <col min="187" max="187" width="13" style="47" customWidth="1"/>
    <col min="188" max="191" width="15" style="47" customWidth="1"/>
    <col min="192" max="192" width="14.85546875" style="47" customWidth="1"/>
    <col min="193" max="193" width="15.85546875" style="47" customWidth="1"/>
    <col min="194" max="194" width="15.7109375" style="47" customWidth="1"/>
    <col min="195" max="205" width="14.42578125" style="47" customWidth="1"/>
    <col min="206" max="209" width="15.5703125" style="47" customWidth="1"/>
    <col min="210" max="215" width="14.42578125" style="47" customWidth="1"/>
    <col min="216" max="216" width="10.140625" style="47" customWidth="1"/>
    <col min="217" max="217" width="16" style="47" customWidth="1"/>
    <col min="218" max="218" width="12.28515625" style="47" customWidth="1"/>
    <col min="219" max="219" width="12.5703125" style="47" customWidth="1"/>
    <col min="220" max="220" width="11" style="47" customWidth="1"/>
    <col min="221" max="222" width="13.42578125" style="47" customWidth="1"/>
    <col min="223" max="223" width="11.5703125" style="47" customWidth="1"/>
    <col min="224" max="224" width="14.140625" style="47" customWidth="1"/>
    <col min="225" max="225" width="7.42578125" style="47" customWidth="1"/>
    <col min="226" max="227" width="11.5703125" style="47" customWidth="1"/>
    <col min="228" max="228" width="9.5703125" style="47" customWidth="1"/>
    <col min="229" max="229" width="15.5703125" style="47" customWidth="1"/>
    <col min="230" max="230" width="14.28515625" style="47" customWidth="1"/>
    <col min="231" max="231" width="13.140625" style="47" customWidth="1"/>
    <col min="232" max="405" width="9.140625" style="47"/>
    <col min="406" max="406" width="35.5703125" style="47" customWidth="1"/>
    <col min="407" max="407" width="19.140625" style="47" customWidth="1"/>
    <col min="408" max="408" width="18.5703125" style="47" customWidth="1"/>
    <col min="409" max="409" width="17.7109375" style="47" customWidth="1"/>
    <col min="410" max="410" width="20.140625" style="47" customWidth="1"/>
    <col min="411" max="411" width="12.140625" style="47" customWidth="1"/>
    <col min="412" max="421" width="9.140625" style="47" customWidth="1"/>
    <col min="422" max="422" width="14.5703125" style="47" customWidth="1"/>
    <col min="423" max="423" width="11.140625" style="47" customWidth="1"/>
    <col min="424" max="424" width="13.140625" style="47" customWidth="1"/>
    <col min="425" max="425" width="12.140625" style="47" customWidth="1"/>
    <col min="426" max="426" width="7.42578125" style="47" customWidth="1"/>
    <col min="427" max="427" width="13.28515625" style="47" customWidth="1"/>
    <col min="428" max="428" width="13.140625" style="47" customWidth="1"/>
    <col min="429" max="429" width="10.85546875" style="47" customWidth="1"/>
    <col min="430" max="430" width="14.28515625" style="47" customWidth="1"/>
    <col min="431" max="431" width="10.140625" style="47" customWidth="1"/>
    <col min="432" max="432" width="7.28515625" style="47" customWidth="1"/>
    <col min="433" max="433" width="11.85546875" style="47" customWidth="1"/>
    <col min="434" max="434" width="11.28515625" style="47" customWidth="1"/>
    <col min="435" max="435" width="8.85546875" style="47" customWidth="1"/>
    <col min="436" max="436" width="12.7109375" style="47" customWidth="1"/>
    <col min="437" max="439" width="9.140625" style="47" customWidth="1"/>
    <col min="440" max="440" width="11.42578125" style="47" customWidth="1"/>
    <col min="441" max="441" width="8.140625" style="47" customWidth="1"/>
    <col min="442" max="442" width="13.85546875" style="47" customWidth="1"/>
    <col min="443" max="443" width="13" style="47" customWidth="1"/>
    <col min="444" max="447" width="15" style="47" customWidth="1"/>
    <col min="448" max="448" width="14.85546875" style="47" customWidth="1"/>
    <col min="449" max="449" width="15.85546875" style="47" customWidth="1"/>
    <col min="450" max="450" width="15.7109375" style="47" customWidth="1"/>
    <col min="451" max="461" width="14.42578125" style="47" customWidth="1"/>
    <col min="462" max="465" width="15.5703125" style="47" customWidth="1"/>
    <col min="466" max="471" width="14.42578125" style="47" customWidth="1"/>
    <col min="472" max="472" width="10.140625" style="47" customWidth="1"/>
    <col min="473" max="473" width="16" style="47" customWidth="1"/>
    <col min="474" max="474" width="12.28515625" style="47" customWidth="1"/>
    <col min="475" max="475" width="12.5703125" style="47" customWidth="1"/>
    <col min="476" max="476" width="11" style="47" customWidth="1"/>
    <col min="477" max="478" width="13.42578125" style="47" customWidth="1"/>
    <col min="479" max="479" width="11.5703125" style="47" customWidth="1"/>
    <col min="480" max="480" width="14.140625" style="47" customWidth="1"/>
    <col min="481" max="481" width="7.42578125" style="47" customWidth="1"/>
    <col min="482" max="483" width="11.5703125" style="47" customWidth="1"/>
    <col min="484" max="484" width="9.5703125" style="47" customWidth="1"/>
    <col min="485" max="485" width="15.5703125" style="47" customWidth="1"/>
    <col min="486" max="486" width="14.28515625" style="47" customWidth="1"/>
    <col min="487" max="487" width="13.140625" style="47" customWidth="1"/>
    <col min="488" max="661" width="9.140625" style="47"/>
    <col min="662" max="662" width="35.5703125" style="47" customWidth="1"/>
    <col min="663" max="663" width="19.140625" style="47" customWidth="1"/>
    <col min="664" max="664" width="18.5703125" style="47" customWidth="1"/>
    <col min="665" max="665" width="17.7109375" style="47" customWidth="1"/>
    <col min="666" max="666" width="20.140625" style="47" customWidth="1"/>
    <col min="667" max="667" width="12.140625" style="47" customWidth="1"/>
    <col min="668" max="677" width="9.140625" style="47" customWidth="1"/>
    <col min="678" max="678" width="14.5703125" style="47" customWidth="1"/>
    <col min="679" max="679" width="11.140625" style="47" customWidth="1"/>
    <col min="680" max="680" width="13.140625" style="47" customWidth="1"/>
    <col min="681" max="681" width="12.140625" style="47" customWidth="1"/>
    <col min="682" max="682" width="7.42578125" style="47" customWidth="1"/>
    <col min="683" max="683" width="13.28515625" style="47" customWidth="1"/>
    <col min="684" max="684" width="13.140625" style="47" customWidth="1"/>
    <col min="685" max="685" width="10.85546875" style="47" customWidth="1"/>
    <col min="686" max="686" width="14.28515625" style="47" customWidth="1"/>
    <col min="687" max="687" width="10.140625" style="47" customWidth="1"/>
    <col min="688" max="688" width="7.28515625" style="47" customWidth="1"/>
    <col min="689" max="689" width="11.85546875" style="47" customWidth="1"/>
    <col min="690" max="690" width="11.28515625" style="47" customWidth="1"/>
    <col min="691" max="691" width="8.85546875" style="47" customWidth="1"/>
    <col min="692" max="692" width="12.7109375" style="47" customWidth="1"/>
    <col min="693" max="695" width="9.140625" style="47" customWidth="1"/>
    <col min="696" max="696" width="11.42578125" style="47" customWidth="1"/>
    <col min="697" max="697" width="8.140625" style="47" customWidth="1"/>
    <col min="698" max="698" width="13.85546875" style="47" customWidth="1"/>
    <col min="699" max="699" width="13" style="47" customWidth="1"/>
    <col min="700" max="703" width="15" style="47" customWidth="1"/>
    <col min="704" max="704" width="14.85546875" style="47" customWidth="1"/>
    <col min="705" max="705" width="15.85546875" style="47" customWidth="1"/>
    <col min="706" max="706" width="15.7109375" style="47" customWidth="1"/>
    <col min="707" max="717" width="14.42578125" style="47" customWidth="1"/>
    <col min="718" max="721" width="15.5703125" style="47" customWidth="1"/>
    <col min="722" max="727" width="14.42578125" style="47" customWidth="1"/>
    <col min="728" max="728" width="10.140625" style="47" customWidth="1"/>
    <col min="729" max="729" width="16" style="47" customWidth="1"/>
    <col min="730" max="730" width="12.28515625" style="47" customWidth="1"/>
    <col min="731" max="731" width="12.5703125" style="47" customWidth="1"/>
    <col min="732" max="732" width="11" style="47" customWidth="1"/>
    <col min="733" max="734" width="13.42578125" style="47" customWidth="1"/>
    <col min="735" max="735" width="11.5703125" style="47" customWidth="1"/>
    <col min="736" max="736" width="14.140625" style="47" customWidth="1"/>
    <col min="737" max="737" width="7.42578125" style="47" customWidth="1"/>
    <col min="738" max="739" width="11.5703125" style="47" customWidth="1"/>
    <col min="740" max="740" width="9.5703125" style="47" customWidth="1"/>
    <col min="741" max="741" width="15.5703125" style="47" customWidth="1"/>
    <col min="742" max="742" width="14.28515625" style="47" customWidth="1"/>
    <col min="743" max="743" width="13.140625" style="47" customWidth="1"/>
    <col min="744" max="917" width="9.140625" style="47"/>
    <col min="918" max="918" width="35.5703125" style="47" customWidth="1"/>
    <col min="919" max="919" width="19.140625" style="47" customWidth="1"/>
    <col min="920" max="920" width="18.5703125" style="47" customWidth="1"/>
    <col min="921" max="921" width="17.7109375" style="47" customWidth="1"/>
    <col min="922" max="922" width="20.140625" style="47" customWidth="1"/>
    <col min="923" max="923" width="12.140625" style="47" customWidth="1"/>
    <col min="924" max="933" width="9.140625" style="47" customWidth="1"/>
    <col min="934" max="934" width="14.5703125" style="47" customWidth="1"/>
    <col min="935" max="935" width="11.140625" style="47" customWidth="1"/>
    <col min="936" max="936" width="13.140625" style="47" customWidth="1"/>
    <col min="937" max="937" width="12.140625" style="47" customWidth="1"/>
    <col min="938" max="938" width="7.42578125" style="47" customWidth="1"/>
    <col min="939" max="939" width="13.28515625" style="47" customWidth="1"/>
    <col min="940" max="940" width="13.140625" style="47" customWidth="1"/>
    <col min="941" max="941" width="10.85546875" style="47" customWidth="1"/>
    <col min="942" max="942" width="14.28515625" style="47" customWidth="1"/>
    <col min="943" max="943" width="10.140625" style="47" customWidth="1"/>
    <col min="944" max="944" width="7.28515625" style="47" customWidth="1"/>
    <col min="945" max="945" width="11.85546875" style="47" customWidth="1"/>
    <col min="946" max="946" width="11.28515625" style="47" customWidth="1"/>
    <col min="947" max="947" width="8.85546875" style="47" customWidth="1"/>
    <col min="948" max="948" width="12.7109375" style="47" customWidth="1"/>
    <col min="949" max="951" width="9.140625" style="47" customWidth="1"/>
    <col min="952" max="952" width="11.42578125" style="47" customWidth="1"/>
    <col min="953" max="953" width="8.140625" style="47" customWidth="1"/>
    <col min="954" max="954" width="13.85546875" style="47" customWidth="1"/>
    <col min="955" max="955" width="13" style="47" customWidth="1"/>
    <col min="956" max="959" width="15" style="47" customWidth="1"/>
    <col min="960" max="960" width="14.85546875" style="47" customWidth="1"/>
    <col min="961" max="961" width="15.85546875" style="47" customWidth="1"/>
    <col min="962" max="962" width="15.7109375" style="47" customWidth="1"/>
    <col min="963" max="973" width="14.42578125" style="47" customWidth="1"/>
    <col min="974" max="977" width="15.5703125" style="47" customWidth="1"/>
    <col min="978" max="983" width="14.42578125" style="47" customWidth="1"/>
    <col min="984" max="984" width="10.140625" style="47" customWidth="1"/>
    <col min="985" max="985" width="16" style="47" customWidth="1"/>
    <col min="986" max="986" width="12.28515625" style="47" customWidth="1"/>
    <col min="987" max="987" width="12.5703125" style="47" customWidth="1"/>
    <col min="988" max="988" width="11" style="47" customWidth="1"/>
    <col min="989" max="990" width="13.42578125" style="47" customWidth="1"/>
    <col min="991" max="991" width="11.5703125" style="47" customWidth="1"/>
    <col min="992" max="992" width="14.140625" style="47" customWidth="1"/>
    <col min="993" max="993" width="7.42578125" style="47" customWidth="1"/>
    <col min="994" max="995" width="11.5703125" style="47" customWidth="1"/>
    <col min="996" max="996" width="9.5703125" style="47" customWidth="1"/>
    <col min="997" max="997" width="15.5703125" style="47" customWidth="1"/>
    <col min="998" max="998" width="14.28515625" style="47" customWidth="1"/>
    <col min="999" max="999" width="13.140625" style="47" customWidth="1"/>
    <col min="1000" max="1173" width="9.140625" style="47"/>
    <col min="1174" max="1174" width="35.5703125" style="47" customWidth="1"/>
    <col min="1175" max="1175" width="19.140625" style="47" customWidth="1"/>
    <col min="1176" max="1176" width="18.5703125" style="47" customWidth="1"/>
    <col min="1177" max="1177" width="17.7109375" style="47" customWidth="1"/>
    <col min="1178" max="1178" width="20.140625" style="47" customWidth="1"/>
    <col min="1179" max="1179" width="12.140625" style="47" customWidth="1"/>
    <col min="1180" max="1189" width="9.140625" style="47" customWidth="1"/>
    <col min="1190" max="1190" width="14.5703125" style="47" customWidth="1"/>
    <col min="1191" max="1191" width="11.140625" style="47" customWidth="1"/>
    <col min="1192" max="1192" width="13.140625" style="47" customWidth="1"/>
    <col min="1193" max="1193" width="12.140625" style="47" customWidth="1"/>
    <col min="1194" max="1194" width="7.42578125" style="47" customWidth="1"/>
    <col min="1195" max="1195" width="13.28515625" style="47" customWidth="1"/>
    <col min="1196" max="1196" width="13.140625" style="47" customWidth="1"/>
    <col min="1197" max="1197" width="10.85546875" style="47" customWidth="1"/>
    <col min="1198" max="1198" width="14.28515625" style="47" customWidth="1"/>
    <col min="1199" max="1199" width="10.140625" style="47" customWidth="1"/>
    <col min="1200" max="1200" width="7.28515625" style="47" customWidth="1"/>
    <col min="1201" max="1201" width="11.85546875" style="47" customWidth="1"/>
    <col min="1202" max="1202" width="11.28515625" style="47" customWidth="1"/>
    <col min="1203" max="1203" width="8.85546875" style="47" customWidth="1"/>
    <col min="1204" max="1204" width="12.7109375" style="47" customWidth="1"/>
    <col min="1205" max="1207" width="9.140625" style="47" customWidth="1"/>
    <col min="1208" max="1208" width="11.42578125" style="47" customWidth="1"/>
    <col min="1209" max="1209" width="8.140625" style="47" customWidth="1"/>
    <col min="1210" max="1210" width="13.85546875" style="47" customWidth="1"/>
    <col min="1211" max="1211" width="13" style="47" customWidth="1"/>
    <col min="1212" max="1215" width="15" style="47" customWidth="1"/>
    <col min="1216" max="1216" width="14.85546875" style="47" customWidth="1"/>
    <col min="1217" max="1217" width="15.85546875" style="47" customWidth="1"/>
    <col min="1218" max="1218" width="15.7109375" style="47" customWidth="1"/>
    <col min="1219" max="1229" width="14.42578125" style="47" customWidth="1"/>
    <col min="1230" max="1233" width="15.5703125" style="47" customWidth="1"/>
    <col min="1234" max="1239" width="14.42578125" style="47" customWidth="1"/>
    <col min="1240" max="1240" width="10.140625" style="47" customWidth="1"/>
    <col min="1241" max="1241" width="16" style="47" customWidth="1"/>
    <col min="1242" max="1242" width="12.28515625" style="47" customWidth="1"/>
    <col min="1243" max="1243" width="12.5703125" style="47" customWidth="1"/>
    <col min="1244" max="1244" width="11" style="47" customWidth="1"/>
    <col min="1245" max="1246" width="13.42578125" style="47" customWidth="1"/>
    <col min="1247" max="1247" width="11.5703125" style="47" customWidth="1"/>
    <col min="1248" max="1248" width="14.140625" style="47" customWidth="1"/>
    <col min="1249" max="1249" width="7.42578125" style="47" customWidth="1"/>
    <col min="1250" max="1251" width="11.5703125" style="47" customWidth="1"/>
    <col min="1252" max="1252" width="9.5703125" style="47" customWidth="1"/>
    <col min="1253" max="1253" width="15.5703125" style="47" customWidth="1"/>
    <col min="1254" max="1254" width="14.28515625" style="47" customWidth="1"/>
    <col min="1255" max="1255" width="13.140625" style="47" customWidth="1"/>
    <col min="1256" max="1429" width="9.140625" style="47"/>
    <col min="1430" max="1430" width="35.5703125" style="47" customWidth="1"/>
    <col min="1431" max="1431" width="19.140625" style="47" customWidth="1"/>
    <col min="1432" max="1432" width="18.5703125" style="47" customWidth="1"/>
    <col min="1433" max="1433" width="17.7109375" style="47" customWidth="1"/>
    <col min="1434" max="1434" width="20.140625" style="47" customWidth="1"/>
    <col min="1435" max="1435" width="12.140625" style="47" customWidth="1"/>
    <col min="1436" max="1445" width="9.140625" style="47" customWidth="1"/>
    <col min="1446" max="1446" width="14.5703125" style="47" customWidth="1"/>
    <col min="1447" max="1447" width="11.140625" style="47" customWidth="1"/>
    <col min="1448" max="1448" width="13.140625" style="47" customWidth="1"/>
    <col min="1449" max="1449" width="12.140625" style="47" customWidth="1"/>
    <col min="1450" max="1450" width="7.42578125" style="47" customWidth="1"/>
    <col min="1451" max="1451" width="13.28515625" style="47" customWidth="1"/>
    <col min="1452" max="1452" width="13.140625" style="47" customWidth="1"/>
    <col min="1453" max="1453" width="10.85546875" style="47" customWidth="1"/>
    <col min="1454" max="1454" width="14.28515625" style="47" customWidth="1"/>
    <col min="1455" max="1455" width="10.140625" style="47" customWidth="1"/>
    <col min="1456" max="1456" width="7.28515625" style="47" customWidth="1"/>
    <col min="1457" max="1457" width="11.85546875" style="47" customWidth="1"/>
    <col min="1458" max="1458" width="11.28515625" style="47" customWidth="1"/>
    <col min="1459" max="1459" width="8.85546875" style="47" customWidth="1"/>
    <col min="1460" max="1460" width="12.7109375" style="47" customWidth="1"/>
    <col min="1461" max="1463" width="9.140625" style="47" customWidth="1"/>
    <col min="1464" max="1464" width="11.42578125" style="47" customWidth="1"/>
    <col min="1465" max="1465" width="8.140625" style="47" customWidth="1"/>
    <col min="1466" max="1466" width="13.85546875" style="47" customWidth="1"/>
    <col min="1467" max="1467" width="13" style="47" customWidth="1"/>
    <col min="1468" max="1471" width="15" style="47" customWidth="1"/>
    <col min="1472" max="1472" width="14.85546875" style="47" customWidth="1"/>
    <col min="1473" max="1473" width="15.85546875" style="47" customWidth="1"/>
    <col min="1474" max="1474" width="15.7109375" style="47" customWidth="1"/>
    <col min="1475" max="1485" width="14.42578125" style="47" customWidth="1"/>
    <col min="1486" max="1489" width="15.5703125" style="47" customWidth="1"/>
    <col min="1490" max="1495" width="14.42578125" style="47" customWidth="1"/>
    <col min="1496" max="1496" width="10.140625" style="47" customWidth="1"/>
    <col min="1497" max="1497" width="16" style="47" customWidth="1"/>
    <col min="1498" max="1498" width="12.28515625" style="47" customWidth="1"/>
    <col min="1499" max="1499" width="12.5703125" style="47" customWidth="1"/>
    <col min="1500" max="1500" width="11" style="47" customWidth="1"/>
    <col min="1501" max="1502" width="13.42578125" style="47" customWidth="1"/>
    <col min="1503" max="1503" width="11.5703125" style="47" customWidth="1"/>
    <col min="1504" max="1504" width="14.140625" style="47" customWidth="1"/>
    <col min="1505" max="1505" width="7.42578125" style="47" customWidth="1"/>
    <col min="1506" max="1507" width="11.5703125" style="47" customWidth="1"/>
    <col min="1508" max="1508" width="9.5703125" style="47" customWidth="1"/>
    <col min="1509" max="1509" width="15.5703125" style="47" customWidth="1"/>
    <col min="1510" max="1510" width="14.28515625" style="47" customWidth="1"/>
    <col min="1511" max="1511" width="13.140625" style="47" customWidth="1"/>
    <col min="1512" max="1685" width="9.140625" style="47"/>
    <col min="1686" max="1686" width="35.5703125" style="47" customWidth="1"/>
    <col min="1687" max="1687" width="19.140625" style="47" customWidth="1"/>
    <col min="1688" max="1688" width="18.5703125" style="47" customWidth="1"/>
    <col min="1689" max="1689" width="17.7109375" style="47" customWidth="1"/>
    <col min="1690" max="1690" width="20.140625" style="47" customWidth="1"/>
    <col min="1691" max="1691" width="12.140625" style="47" customWidth="1"/>
    <col min="1692" max="1701" width="9.140625" style="47" customWidth="1"/>
    <col min="1702" max="1702" width="14.5703125" style="47" customWidth="1"/>
    <col min="1703" max="1703" width="11.140625" style="47" customWidth="1"/>
    <col min="1704" max="1704" width="13.140625" style="47" customWidth="1"/>
    <col min="1705" max="1705" width="12.140625" style="47" customWidth="1"/>
    <col min="1706" max="1706" width="7.42578125" style="47" customWidth="1"/>
    <col min="1707" max="1707" width="13.28515625" style="47" customWidth="1"/>
    <col min="1708" max="1708" width="13.140625" style="47" customWidth="1"/>
    <col min="1709" max="1709" width="10.85546875" style="47" customWidth="1"/>
    <col min="1710" max="1710" width="14.28515625" style="47" customWidth="1"/>
    <col min="1711" max="1711" width="10.140625" style="47" customWidth="1"/>
    <col min="1712" max="1712" width="7.28515625" style="47" customWidth="1"/>
    <col min="1713" max="1713" width="11.85546875" style="47" customWidth="1"/>
    <col min="1714" max="1714" width="11.28515625" style="47" customWidth="1"/>
    <col min="1715" max="1715" width="8.85546875" style="47" customWidth="1"/>
    <col min="1716" max="1716" width="12.7109375" style="47" customWidth="1"/>
    <col min="1717" max="1719" width="9.140625" style="47" customWidth="1"/>
    <col min="1720" max="1720" width="11.42578125" style="47" customWidth="1"/>
    <col min="1721" max="1721" width="8.140625" style="47" customWidth="1"/>
    <col min="1722" max="1722" width="13.85546875" style="47" customWidth="1"/>
    <col min="1723" max="1723" width="13" style="47" customWidth="1"/>
    <col min="1724" max="1727" width="15" style="47" customWidth="1"/>
    <col min="1728" max="1728" width="14.85546875" style="47" customWidth="1"/>
    <col min="1729" max="1729" width="15.85546875" style="47" customWidth="1"/>
    <col min="1730" max="1730" width="15.7109375" style="47" customWidth="1"/>
    <col min="1731" max="1741" width="14.42578125" style="47" customWidth="1"/>
    <col min="1742" max="1745" width="15.5703125" style="47" customWidth="1"/>
    <col min="1746" max="1751" width="14.42578125" style="47" customWidth="1"/>
    <col min="1752" max="1752" width="10.140625" style="47" customWidth="1"/>
    <col min="1753" max="1753" width="16" style="47" customWidth="1"/>
    <col min="1754" max="1754" width="12.28515625" style="47" customWidth="1"/>
    <col min="1755" max="1755" width="12.5703125" style="47" customWidth="1"/>
    <col min="1756" max="1756" width="11" style="47" customWidth="1"/>
    <col min="1757" max="1758" width="13.42578125" style="47" customWidth="1"/>
    <col min="1759" max="1759" width="11.5703125" style="47" customWidth="1"/>
    <col min="1760" max="1760" width="14.140625" style="47" customWidth="1"/>
    <col min="1761" max="1761" width="7.42578125" style="47" customWidth="1"/>
    <col min="1762" max="1763" width="11.5703125" style="47" customWidth="1"/>
    <col min="1764" max="1764" width="9.5703125" style="47" customWidth="1"/>
    <col min="1765" max="1765" width="15.5703125" style="47" customWidth="1"/>
    <col min="1766" max="1766" width="14.28515625" style="47" customWidth="1"/>
    <col min="1767" max="1767" width="13.140625" style="47" customWidth="1"/>
    <col min="1768" max="1941" width="9.140625" style="47"/>
    <col min="1942" max="1942" width="35.5703125" style="47" customWidth="1"/>
    <col min="1943" max="1943" width="19.140625" style="47" customWidth="1"/>
    <col min="1944" max="1944" width="18.5703125" style="47" customWidth="1"/>
    <col min="1945" max="1945" width="17.7109375" style="47" customWidth="1"/>
    <col min="1946" max="1946" width="20.140625" style="47" customWidth="1"/>
    <col min="1947" max="1947" width="12.140625" style="47" customWidth="1"/>
    <col min="1948" max="1957" width="9.140625" style="47" customWidth="1"/>
    <col min="1958" max="1958" width="14.5703125" style="47" customWidth="1"/>
    <col min="1959" max="1959" width="11.140625" style="47" customWidth="1"/>
    <col min="1960" max="1960" width="13.140625" style="47" customWidth="1"/>
    <col min="1961" max="1961" width="12.140625" style="47" customWidth="1"/>
    <col min="1962" max="1962" width="7.42578125" style="47" customWidth="1"/>
    <col min="1963" max="1963" width="13.28515625" style="47" customWidth="1"/>
    <col min="1964" max="1964" width="13.140625" style="47" customWidth="1"/>
    <col min="1965" max="1965" width="10.85546875" style="47" customWidth="1"/>
    <col min="1966" max="1966" width="14.28515625" style="47" customWidth="1"/>
    <col min="1967" max="1967" width="10.140625" style="47" customWidth="1"/>
    <col min="1968" max="1968" width="7.28515625" style="47" customWidth="1"/>
    <col min="1969" max="1969" width="11.85546875" style="47" customWidth="1"/>
    <col min="1970" max="1970" width="11.28515625" style="47" customWidth="1"/>
    <col min="1971" max="1971" width="8.85546875" style="47" customWidth="1"/>
    <col min="1972" max="1972" width="12.7109375" style="47" customWidth="1"/>
    <col min="1973" max="1975" width="9.140625" style="47" customWidth="1"/>
    <col min="1976" max="1976" width="11.42578125" style="47" customWidth="1"/>
    <col min="1977" max="1977" width="8.140625" style="47" customWidth="1"/>
    <col min="1978" max="1978" width="13.85546875" style="47" customWidth="1"/>
    <col min="1979" max="1979" width="13" style="47" customWidth="1"/>
    <col min="1980" max="1983" width="15" style="47" customWidth="1"/>
    <col min="1984" max="1984" width="14.85546875" style="47" customWidth="1"/>
    <col min="1985" max="1985" width="15.85546875" style="47" customWidth="1"/>
    <col min="1986" max="1986" width="15.7109375" style="47" customWidth="1"/>
    <col min="1987" max="1997" width="14.42578125" style="47" customWidth="1"/>
    <col min="1998" max="2001" width="15.5703125" style="47" customWidth="1"/>
    <col min="2002" max="2007" width="14.42578125" style="47" customWidth="1"/>
    <col min="2008" max="2008" width="10.140625" style="47" customWidth="1"/>
    <col min="2009" max="2009" width="16" style="47" customWidth="1"/>
    <col min="2010" max="2010" width="12.28515625" style="47" customWidth="1"/>
    <col min="2011" max="2011" width="12.5703125" style="47" customWidth="1"/>
    <col min="2012" max="2012" width="11" style="47" customWidth="1"/>
    <col min="2013" max="2014" width="13.42578125" style="47" customWidth="1"/>
    <col min="2015" max="2015" width="11.5703125" style="47" customWidth="1"/>
    <col min="2016" max="2016" width="14.140625" style="47" customWidth="1"/>
    <col min="2017" max="2017" width="7.42578125" style="47" customWidth="1"/>
    <col min="2018" max="2019" width="11.5703125" style="47" customWidth="1"/>
    <col min="2020" max="2020" width="9.5703125" style="47" customWidth="1"/>
    <col min="2021" max="2021" width="15.5703125" style="47" customWidth="1"/>
    <col min="2022" max="2022" width="14.28515625" style="47" customWidth="1"/>
    <col min="2023" max="2023" width="13.140625" style="47" customWidth="1"/>
    <col min="2024" max="2197" width="9.140625" style="47"/>
    <col min="2198" max="2198" width="35.5703125" style="47" customWidth="1"/>
    <col min="2199" max="2199" width="19.140625" style="47" customWidth="1"/>
    <col min="2200" max="2200" width="18.5703125" style="47" customWidth="1"/>
    <col min="2201" max="2201" width="17.7109375" style="47" customWidth="1"/>
    <col min="2202" max="2202" width="20.140625" style="47" customWidth="1"/>
    <col min="2203" max="2203" width="12.140625" style="47" customWidth="1"/>
    <col min="2204" max="2213" width="9.140625" style="47" customWidth="1"/>
    <col min="2214" max="2214" width="14.5703125" style="47" customWidth="1"/>
    <col min="2215" max="2215" width="11.140625" style="47" customWidth="1"/>
    <col min="2216" max="2216" width="13.140625" style="47" customWidth="1"/>
    <col min="2217" max="2217" width="12.140625" style="47" customWidth="1"/>
    <col min="2218" max="2218" width="7.42578125" style="47" customWidth="1"/>
    <col min="2219" max="2219" width="13.28515625" style="47" customWidth="1"/>
    <col min="2220" max="2220" width="13.140625" style="47" customWidth="1"/>
    <col min="2221" max="2221" width="10.85546875" style="47" customWidth="1"/>
    <col min="2222" max="2222" width="14.28515625" style="47" customWidth="1"/>
    <col min="2223" max="2223" width="10.140625" style="47" customWidth="1"/>
    <col min="2224" max="2224" width="7.28515625" style="47" customWidth="1"/>
    <col min="2225" max="2225" width="11.85546875" style="47" customWidth="1"/>
    <col min="2226" max="2226" width="11.28515625" style="47" customWidth="1"/>
    <col min="2227" max="2227" width="8.85546875" style="47" customWidth="1"/>
    <col min="2228" max="2228" width="12.7109375" style="47" customWidth="1"/>
    <col min="2229" max="2231" width="9.140625" style="47" customWidth="1"/>
    <col min="2232" max="2232" width="11.42578125" style="47" customWidth="1"/>
    <col min="2233" max="2233" width="8.140625" style="47" customWidth="1"/>
    <col min="2234" max="2234" width="13.85546875" style="47" customWidth="1"/>
    <col min="2235" max="2235" width="13" style="47" customWidth="1"/>
    <col min="2236" max="2239" width="15" style="47" customWidth="1"/>
    <col min="2240" max="2240" width="14.85546875" style="47" customWidth="1"/>
    <col min="2241" max="2241" width="15.85546875" style="47" customWidth="1"/>
    <col min="2242" max="2242" width="15.7109375" style="47" customWidth="1"/>
    <col min="2243" max="2253" width="14.42578125" style="47" customWidth="1"/>
    <col min="2254" max="2257" width="15.5703125" style="47" customWidth="1"/>
    <col min="2258" max="2263" width="14.42578125" style="47" customWidth="1"/>
    <col min="2264" max="2264" width="10.140625" style="47" customWidth="1"/>
    <col min="2265" max="2265" width="16" style="47" customWidth="1"/>
    <col min="2266" max="2266" width="12.28515625" style="47" customWidth="1"/>
    <col min="2267" max="2267" width="12.5703125" style="47" customWidth="1"/>
    <col min="2268" max="2268" width="11" style="47" customWidth="1"/>
    <col min="2269" max="2270" width="13.42578125" style="47" customWidth="1"/>
    <col min="2271" max="2271" width="11.5703125" style="47" customWidth="1"/>
    <col min="2272" max="2272" width="14.140625" style="47" customWidth="1"/>
    <col min="2273" max="2273" width="7.42578125" style="47" customWidth="1"/>
    <col min="2274" max="2275" width="11.5703125" style="47" customWidth="1"/>
    <col min="2276" max="2276" width="9.5703125" style="47" customWidth="1"/>
    <col min="2277" max="2277" width="15.5703125" style="47" customWidth="1"/>
    <col min="2278" max="2278" width="14.28515625" style="47" customWidth="1"/>
    <col min="2279" max="2279" width="13.140625" style="47" customWidth="1"/>
    <col min="2280" max="2453" width="9.140625" style="47"/>
    <col min="2454" max="2454" width="35.5703125" style="47" customWidth="1"/>
    <col min="2455" max="2455" width="19.140625" style="47" customWidth="1"/>
    <col min="2456" max="2456" width="18.5703125" style="47" customWidth="1"/>
    <col min="2457" max="2457" width="17.7109375" style="47" customWidth="1"/>
    <col min="2458" max="2458" width="20.140625" style="47" customWidth="1"/>
    <col min="2459" max="2459" width="12.140625" style="47" customWidth="1"/>
    <col min="2460" max="2469" width="9.140625" style="47" customWidth="1"/>
    <col min="2470" max="2470" width="14.5703125" style="47" customWidth="1"/>
    <col min="2471" max="2471" width="11.140625" style="47" customWidth="1"/>
    <col min="2472" max="2472" width="13.140625" style="47" customWidth="1"/>
    <col min="2473" max="2473" width="12.140625" style="47" customWidth="1"/>
    <col min="2474" max="2474" width="7.42578125" style="47" customWidth="1"/>
    <col min="2475" max="2475" width="13.28515625" style="47" customWidth="1"/>
    <col min="2476" max="2476" width="13.140625" style="47" customWidth="1"/>
    <col min="2477" max="2477" width="10.85546875" style="47" customWidth="1"/>
    <col min="2478" max="2478" width="14.28515625" style="47" customWidth="1"/>
    <col min="2479" max="2479" width="10.140625" style="47" customWidth="1"/>
    <col min="2480" max="2480" width="7.28515625" style="47" customWidth="1"/>
    <col min="2481" max="2481" width="11.85546875" style="47" customWidth="1"/>
    <col min="2482" max="2482" width="11.28515625" style="47" customWidth="1"/>
    <col min="2483" max="2483" width="8.85546875" style="47" customWidth="1"/>
    <col min="2484" max="2484" width="12.7109375" style="47" customWidth="1"/>
    <col min="2485" max="2487" width="9.140625" style="47" customWidth="1"/>
    <col min="2488" max="2488" width="11.42578125" style="47" customWidth="1"/>
    <col min="2489" max="2489" width="8.140625" style="47" customWidth="1"/>
    <col min="2490" max="2490" width="13.85546875" style="47" customWidth="1"/>
    <col min="2491" max="2491" width="13" style="47" customWidth="1"/>
    <col min="2492" max="2495" width="15" style="47" customWidth="1"/>
    <col min="2496" max="2496" width="14.85546875" style="47" customWidth="1"/>
    <col min="2497" max="2497" width="15.85546875" style="47" customWidth="1"/>
    <col min="2498" max="2498" width="15.7109375" style="47" customWidth="1"/>
    <col min="2499" max="2509" width="14.42578125" style="47" customWidth="1"/>
    <col min="2510" max="2513" width="15.5703125" style="47" customWidth="1"/>
    <col min="2514" max="2519" width="14.42578125" style="47" customWidth="1"/>
    <col min="2520" max="2520" width="10.140625" style="47" customWidth="1"/>
    <col min="2521" max="2521" width="16" style="47" customWidth="1"/>
    <col min="2522" max="2522" width="12.28515625" style="47" customWidth="1"/>
    <col min="2523" max="2523" width="12.5703125" style="47" customWidth="1"/>
    <col min="2524" max="2524" width="11" style="47" customWidth="1"/>
    <col min="2525" max="2526" width="13.42578125" style="47" customWidth="1"/>
    <col min="2527" max="2527" width="11.5703125" style="47" customWidth="1"/>
    <col min="2528" max="2528" width="14.140625" style="47" customWidth="1"/>
    <col min="2529" max="2529" width="7.42578125" style="47" customWidth="1"/>
    <col min="2530" max="2531" width="11.5703125" style="47" customWidth="1"/>
    <col min="2532" max="2532" width="9.5703125" style="47" customWidth="1"/>
    <col min="2533" max="2533" width="15.5703125" style="47" customWidth="1"/>
    <col min="2534" max="2534" width="14.28515625" style="47" customWidth="1"/>
    <col min="2535" max="2535" width="13.140625" style="47" customWidth="1"/>
    <col min="2536" max="2709" width="9.140625" style="47"/>
    <col min="2710" max="2710" width="35.5703125" style="47" customWidth="1"/>
    <col min="2711" max="2711" width="19.140625" style="47" customWidth="1"/>
    <col min="2712" max="2712" width="18.5703125" style="47" customWidth="1"/>
    <col min="2713" max="2713" width="17.7109375" style="47" customWidth="1"/>
    <col min="2714" max="2714" width="20.140625" style="47" customWidth="1"/>
    <col min="2715" max="2715" width="12.140625" style="47" customWidth="1"/>
    <col min="2716" max="2725" width="9.140625" style="47" customWidth="1"/>
    <col min="2726" max="2726" width="14.5703125" style="47" customWidth="1"/>
    <col min="2727" max="2727" width="11.140625" style="47" customWidth="1"/>
    <col min="2728" max="2728" width="13.140625" style="47" customWidth="1"/>
    <col min="2729" max="2729" width="12.140625" style="47" customWidth="1"/>
    <col min="2730" max="2730" width="7.42578125" style="47" customWidth="1"/>
    <col min="2731" max="2731" width="13.28515625" style="47" customWidth="1"/>
    <col min="2732" max="2732" width="13.140625" style="47" customWidth="1"/>
    <col min="2733" max="2733" width="10.85546875" style="47" customWidth="1"/>
    <col min="2734" max="2734" width="14.28515625" style="47" customWidth="1"/>
    <col min="2735" max="2735" width="10.140625" style="47" customWidth="1"/>
    <col min="2736" max="2736" width="7.28515625" style="47" customWidth="1"/>
    <col min="2737" max="2737" width="11.85546875" style="47" customWidth="1"/>
    <col min="2738" max="2738" width="11.28515625" style="47" customWidth="1"/>
    <col min="2739" max="2739" width="8.85546875" style="47" customWidth="1"/>
    <col min="2740" max="2740" width="12.7109375" style="47" customWidth="1"/>
    <col min="2741" max="2743" width="9.140625" style="47" customWidth="1"/>
    <col min="2744" max="2744" width="11.42578125" style="47" customWidth="1"/>
    <col min="2745" max="2745" width="8.140625" style="47" customWidth="1"/>
    <col min="2746" max="2746" width="13.85546875" style="47" customWidth="1"/>
    <col min="2747" max="2747" width="13" style="47" customWidth="1"/>
    <col min="2748" max="2751" width="15" style="47" customWidth="1"/>
    <col min="2752" max="2752" width="14.85546875" style="47" customWidth="1"/>
    <col min="2753" max="2753" width="15.85546875" style="47" customWidth="1"/>
    <col min="2754" max="2754" width="15.7109375" style="47" customWidth="1"/>
    <col min="2755" max="2765" width="14.42578125" style="47" customWidth="1"/>
    <col min="2766" max="2769" width="15.5703125" style="47" customWidth="1"/>
    <col min="2770" max="2775" width="14.42578125" style="47" customWidth="1"/>
    <col min="2776" max="2776" width="10.140625" style="47" customWidth="1"/>
    <col min="2777" max="2777" width="16" style="47" customWidth="1"/>
    <col min="2778" max="2778" width="12.28515625" style="47" customWidth="1"/>
    <col min="2779" max="2779" width="12.5703125" style="47" customWidth="1"/>
    <col min="2780" max="2780" width="11" style="47" customWidth="1"/>
    <col min="2781" max="2782" width="13.42578125" style="47" customWidth="1"/>
    <col min="2783" max="2783" width="11.5703125" style="47" customWidth="1"/>
    <col min="2784" max="2784" width="14.140625" style="47" customWidth="1"/>
    <col min="2785" max="2785" width="7.42578125" style="47" customWidth="1"/>
    <col min="2786" max="2787" width="11.5703125" style="47" customWidth="1"/>
    <col min="2788" max="2788" width="9.5703125" style="47" customWidth="1"/>
    <col min="2789" max="2789" width="15.5703125" style="47" customWidth="1"/>
    <col min="2790" max="2790" width="14.28515625" style="47" customWidth="1"/>
    <col min="2791" max="2791" width="13.140625" style="47" customWidth="1"/>
    <col min="2792" max="2965" width="9.140625" style="47"/>
    <col min="2966" max="2966" width="35.5703125" style="47" customWidth="1"/>
    <col min="2967" max="2967" width="19.140625" style="47" customWidth="1"/>
    <col min="2968" max="2968" width="18.5703125" style="47" customWidth="1"/>
    <col min="2969" max="2969" width="17.7109375" style="47" customWidth="1"/>
    <col min="2970" max="2970" width="20.140625" style="47" customWidth="1"/>
    <col min="2971" max="2971" width="12.140625" style="47" customWidth="1"/>
    <col min="2972" max="2981" width="9.140625" style="47" customWidth="1"/>
    <col min="2982" max="2982" width="14.5703125" style="47" customWidth="1"/>
    <col min="2983" max="2983" width="11.140625" style="47" customWidth="1"/>
    <col min="2984" max="2984" width="13.140625" style="47" customWidth="1"/>
    <col min="2985" max="2985" width="12.140625" style="47" customWidth="1"/>
    <col min="2986" max="2986" width="7.42578125" style="47" customWidth="1"/>
    <col min="2987" max="2987" width="13.28515625" style="47" customWidth="1"/>
    <col min="2988" max="2988" width="13.140625" style="47" customWidth="1"/>
    <col min="2989" max="2989" width="10.85546875" style="47" customWidth="1"/>
    <col min="2990" max="2990" width="14.28515625" style="47" customWidth="1"/>
    <col min="2991" max="2991" width="10.140625" style="47" customWidth="1"/>
    <col min="2992" max="2992" width="7.28515625" style="47" customWidth="1"/>
    <col min="2993" max="2993" width="11.85546875" style="47" customWidth="1"/>
    <col min="2994" max="2994" width="11.28515625" style="47" customWidth="1"/>
    <col min="2995" max="2995" width="8.85546875" style="47" customWidth="1"/>
    <col min="2996" max="2996" width="12.7109375" style="47" customWidth="1"/>
    <col min="2997" max="2999" width="9.140625" style="47" customWidth="1"/>
    <col min="3000" max="3000" width="11.42578125" style="47" customWidth="1"/>
    <col min="3001" max="3001" width="8.140625" style="47" customWidth="1"/>
    <col min="3002" max="3002" width="13.85546875" style="47" customWidth="1"/>
    <col min="3003" max="3003" width="13" style="47" customWidth="1"/>
    <col min="3004" max="3007" width="15" style="47" customWidth="1"/>
    <col min="3008" max="3008" width="14.85546875" style="47" customWidth="1"/>
    <col min="3009" max="3009" width="15.85546875" style="47" customWidth="1"/>
    <col min="3010" max="3010" width="15.7109375" style="47" customWidth="1"/>
    <col min="3011" max="3021" width="14.42578125" style="47" customWidth="1"/>
    <col min="3022" max="3025" width="15.5703125" style="47" customWidth="1"/>
    <col min="3026" max="3031" width="14.42578125" style="47" customWidth="1"/>
    <col min="3032" max="3032" width="10.140625" style="47" customWidth="1"/>
    <col min="3033" max="3033" width="16" style="47" customWidth="1"/>
    <col min="3034" max="3034" width="12.28515625" style="47" customWidth="1"/>
    <col min="3035" max="3035" width="12.5703125" style="47" customWidth="1"/>
    <col min="3036" max="3036" width="11" style="47" customWidth="1"/>
    <col min="3037" max="3038" width="13.42578125" style="47" customWidth="1"/>
    <col min="3039" max="3039" width="11.5703125" style="47" customWidth="1"/>
    <col min="3040" max="3040" width="14.140625" style="47" customWidth="1"/>
    <col min="3041" max="3041" width="7.42578125" style="47" customWidth="1"/>
    <col min="3042" max="3043" width="11.5703125" style="47" customWidth="1"/>
    <col min="3044" max="3044" width="9.5703125" style="47" customWidth="1"/>
    <col min="3045" max="3045" width="15.5703125" style="47" customWidth="1"/>
    <col min="3046" max="3046" width="14.28515625" style="47" customWidth="1"/>
    <col min="3047" max="3047" width="13.140625" style="47" customWidth="1"/>
    <col min="3048" max="3221" width="9.140625" style="47"/>
    <col min="3222" max="3222" width="35.5703125" style="47" customWidth="1"/>
    <col min="3223" max="3223" width="19.140625" style="47" customWidth="1"/>
    <col min="3224" max="3224" width="18.5703125" style="47" customWidth="1"/>
    <col min="3225" max="3225" width="17.7109375" style="47" customWidth="1"/>
    <col min="3226" max="3226" width="20.140625" style="47" customWidth="1"/>
    <col min="3227" max="3227" width="12.140625" style="47" customWidth="1"/>
    <col min="3228" max="3237" width="9.140625" style="47" customWidth="1"/>
    <col min="3238" max="3238" width="14.5703125" style="47" customWidth="1"/>
    <col min="3239" max="3239" width="11.140625" style="47" customWidth="1"/>
    <col min="3240" max="3240" width="13.140625" style="47" customWidth="1"/>
    <col min="3241" max="3241" width="12.140625" style="47" customWidth="1"/>
    <col min="3242" max="3242" width="7.42578125" style="47" customWidth="1"/>
    <col min="3243" max="3243" width="13.28515625" style="47" customWidth="1"/>
    <col min="3244" max="3244" width="13.140625" style="47" customWidth="1"/>
    <col min="3245" max="3245" width="10.85546875" style="47" customWidth="1"/>
    <col min="3246" max="3246" width="14.28515625" style="47" customWidth="1"/>
    <col min="3247" max="3247" width="10.140625" style="47" customWidth="1"/>
    <col min="3248" max="3248" width="7.28515625" style="47" customWidth="1"/>
    <col min="3249" max="3249" width="11.85546875" style="47" customWidth="1"/>
    <col min="3250" max="3250" width="11.28515625" style="47" customWidth="1"/>
    <col min="3251" max="3251" width="8.85546875" style="47" customWidth="1"/>
    <col min="3252" max="3252" width="12.7109375" style="47" customWidth="1"/>
    <col min="3253" max="3255" width="9.140625" style="47" customWidth="1"/>
    <col min="3256" max="3256" width="11.42578125" style="47" customWidth="1"/>
    <col min="3257" max="3257" width="8.140625" style="47" customWidth="1"/>
    <col min="3258" max="3258" width="13.85546875" style="47" customWidth="1"/>
    <col min="3259" max="3259" width="13" style="47" customWidth="1"/>
    <col min="3260" max="3263" width="15" style="47" customWidth="1"/>
    <col min="3264" max="3264" width="14.85546875" style="47" customWidth="1"/>
    <col min="3265" max="3265" width="15.85546875" style="47" customWidth="1"/>
    <col min="3266" max="3266" width="15.7109375" style="47" customWidth="1"/>
    <col min="3267" max="3277" width="14.42578125" style="47" customWidth="1"/>
    <col min="3278" max="3281" width="15.5703125" style="47" customWidth="1"/>
    <col min="3282" max="3287" width="14.42578125" style="47" customWidth="1"/>
    <col min="3288" max="3288" width="10.140625" style="47" customWidth="1"/>
    <col min="3289" max="3289" width="16" style="47" customWidth="1"/>
    <col min="3290" max="3290" width="12.28515625" style="47" customWidth="1"/>
    <col min="3291" max="3291" width="12.5703125" style="47" customWidth="1"/>
    <col min="3292" max="3292" width="11" style="47" customWidth="1"/>
    <col min="3293" max="3294" width="13.42578125" style="47" customWidth="1"/>
    <col min="3295" max="3295" width="11.5703125" style="47" customWidth="1"/>
    <col min="3296" max="3296" width="14.140625" style="47" customWidth="1"/>
    <col min="3297" max="3297" width="7.42578125" style="47" customWidth="1"/>
    <col min="3298" max="3299" width="11.5703125" style="47" customWidth="1"/>
    <col min="3300" max="3300" width="9.5703125" style="47" customWidth="1"/>
    <col min="3301" max="3301" width="15.5703125" style="47" customWidth="1"/>
    <col min="3302" max="3302" width="14.28515625" style="47" customWidth="1"/>
    <col min="3303" max="3303" width="13.140625" style="47" customWidth="1"/>
    <col min="3304" max="3477" width="9.140625" style="47"/>
    <col min="3478" max="3478" width="35.5703125" style="47" customWidth="1"/>
    <col min="3479" max="3479" width="19.140625" style="47" customWidth="1"/>
    <col min="3480" max="3480" width="18.5703125" style="47" customWidth="1"/>
    <col min="3481" max="3481" width="17.7109375" style="47" customWidth="1"/>
    <col min="3482" max="3482" width="20.140625" style="47" customWidth="1"/>
    <col min="3483" max="3483" width="12.140625" style="47" customWidth="1"/>
    <col min="3484" max="3493" width="9.140625" style="47" customWidth="1"/>
    <col min="3494" max="3494" width="14.5703125" style="47" customWidth="1"/>
    <col min="3495" max="3495" width="11.140625" style="47" customWidth="1"/>
    <col min="3496" max="3496" width="13.140625" style="47" customWidth="1"/>
    <col min="3497" max="3497" width="12.140625" style="47" customWidth="1"/>
    <col min="3498" max="3498" width="7.42578125" style="47" customWidth="1"/>
    <col min="3499" max="3499" width="13.28515625" style="47" customWidth="1"/>
    <col min="3500" max="3500" width="13.140625" style="47" customWidth="1"/>
    <col min="3501" max="3501" width="10.85546875" style="47" customWidth="1"/>
    <col min="3502" max="3502" width="14.28515625" style="47" customWidth="1"/>
    <col min="3503" max="3503" width="10.140625" style="47" customWidth="1"/>
    <col min="3504" max="3504" width="7.28515625" style="47" customWidth="1"/>
    <col min="3505" max="3505" width="11.85546875" style="47" customWidth="1"/>
    <col min="3506" max="3506" width="11.28515625" style="47" customWidth="1"/>
    <col min="3507" max="3507" width="8.85546875" style="47" customWidth="1"/>
    <col min="3508" max="3508" width="12.7109375" style="47" customWidth="1"/>
    <col min="3509" max="3511" width="9.140625" style="47" customWidth="1"/>
    <col min="3512" max="3512" width="11.42578125" style="47" customWidth="1"/>
    <col min="3513" max="3513" width="8.140625" style="47" customWidth="1"/>
    <col min="3514" max="3514" width="13.85546875" style="47" customWidth="1"/>
    <col min="3515" max="3515" width="13" style="47" customWidth="1"/>
    <col min="3516" max="3519" width="15" style="47" customWidth="1"/>
    <col min="3520" max="3520" width="14.85546875" style="47" customWidth="1"/>
    <col min="3521" max="3521" width="15.85546875" style="47" customWidth="1"/>
    <col min="3522" max="3522" width="15.7109375" style="47" customWidth="1"/>
    <col min="3523" max="3533" width="14.42578125" style="47" customWidth="1"/>
    <col min="3534" max="3537" width="15.5703125" style="47" customWidth="1"/>
    <col min="3538" max="3543" width="14.42578125" style="47" customWidth="1"/>
    <col min="3544" max="3544" width="10.140625" style="47" customWidth="1"/>
    <col min="3545" max="3545" width="16" style="47" customWidth="1"/>
    <col min="3546" max="3546" width="12.28515625" style="47" customWidth="1"/>
    <col min="3547" max="3547" width="12.5703125" style="47" customWidth="1"/>
    <col min="3548" max="3548" width="11" style="47" customWidth="1"/>
    <col min="3549" max="3550" width="13.42578125" style="47" customWidth="1"/>
    <col min="3551" max="3551" width="11.5703125" style="47" customWidth="1"/>
    <col min="3552" max="3552" width="14.140625" style="47" customWidth="1"/>
    <col min="3553" max="3553" width="7.42578125" style="47" customWidth="1"/>
    <col min="3554" max="3555" width="11.5703125" style="47" customWidth="1"/>
    <col min="3556" max="3556" width="9.5703125" style="47" customWidth="1"/>
    <col min="3557" max="3557" width="15.5703125" style="47" customWidth="1"/>
    <col min="3558" max="3558" width="14.28515625" style="47" customWidth="1"/>
    <col min="3559" max="3559" width="13.140625" style="47" customWidth="1"/>
    <col min="3560" max="3733" width="9.140625" style="47"/>
    <col min="3734" max="3734" width="35.5703125" style="47" customWidth="1"/>
    <col min="3735" max="3735" width="19.140625" style="47" customWidth="1"/>
    <col min="3736" max="3736" width="18.5703125" style="47" customWidth="1"/>
    <col min="3737" max="3737" width="17.7109375" style="47" customWidth="1"/>
    <col min="3738" max="3738" width="20.140625" style="47" customWidth="1"/>
    <col min="3739" max="3739" width="12.140625" style="47" customWidth="1"/>
    <col min="3740" max="3749" width="9.140625" style="47" customWidth="1"/>
    <col min="3750" max="3750" width="14.5703125" style="47" customWidth="1"/>
    <col min="3751" max="3751" width="11.140625" style="47" customWidth="1"/>
    <col min="3752" max="3752" width="13.140625" style="47" customWidth="1"/>
    <col min="3753" max="3753" width="12.140625" style="47" customWidth="1"/>
    <col min="3754" max="3754" width="7.42578125" style="47" customWidth="1"/>
    <col min="3755" max="3755" width="13.28515625" style="47" customWidth="1"/>
    <col min="3756" max="3756" width="13.140625" style="47" customWidth="1"/>
    <col min="3757" max="3757" width="10.85546875" style="47" customWidth="1"/>
    <col min="3758" max="3758" width="14.28515625" style="47" customWidth="1"/>
    <col min="3759" max="3759" width="10.140625" style="47" customWidth="1"/>
    <col min="3760" max="3760" width="7.28515625" style="47" customWidth="1"/>
    <col min="3761" max="3761" width="11.85546875" style="47" customWidth="1"/>
    <col min="3762" max="3762" width="11.28515625" style="47" customWidth="1"/>
    <col min="3763" max="3763" width="8.85546875" style="47" customWidth="1"/>
    <col min="3764" max="3764" width="12.7109375" style="47" customWidth="1"/>
    <col min="3765" max="3767" width="9.140625" style="47" customWidth="1"/>
    <col min="3768" max="3768" width="11.42578125" style="47" customWidth="1"/>
    <col min="3769" max="3769" width="8.140625" style="47" customWidth="1"/>
    <col min="3770" max="3770" width="13.85546875" style="47" customWidth="1"/>
    <col min="3771" max="3771" width="13" style="47" customWidth="1"/>
    <col min="3772" max="3775" width="15" style="47" customWidth="1"/>
    <col min="3776" max="3776" width="14.85546875" style="47" customWidth="1"/>
    <col min="3777" max="3777" width="15.85546875" style="47" customWidth="1"/>
    <col min="3778" max="3778" width="15.7109375" style="47" customWidth="1"/>
    <col min="3779" max="3789" width="14.42578125" style="47" customWidth="1"/>
    <col min="3790" max="3793" width="15.5703125" style="47" customWidth="1"/>
    <col min="3794" max="3799" width="14.42578125" style="47" customWidth="1"/>
    <col min="3800" max="3800" width="10.140625" style="47" customWidth="1"/>
    <col min="3801" max="3801" width="16" style="47" customWidth="1"/>
    <col min="3802" max="3802" width="12.28515625" style="47" customWidth="1"/>
    <col min="3803" max="3803" width="12.5703125" style="47" customWidth="1"/>
    <col min="3804" max="3804" width="11" style="47" customWidth="1"/>
    <col min="3805" max="3806" width="13.42578125" style="47" customWidth="1"/>
    <col min="3807" max="3807" width="11.5703125" style="47" customWidth="1"/>
    <col min="3808" max="3808" width="14.140625" style="47" customWidth="1"/>
    <col min="3809" max="3809" width="7.42578125" style="47" customWidth="1"/>
    <col min="3810" max="3811" width="11.5703125" style="47" customWidth="1"/>
    <col min="3812" max="3812" width="9.5703125" style="47" customWidth="1"/>
    <col min="3813" max="3813" width="15.5703125" style="47" customWidth="1"/>
    <col min="3814" max="3814" width="14.28515625" style="47" customWidth="1"/>
    <col min="3815" max="3815" width="13.140625" style="47" customWidth="1"/>
    <col min="3816" max="3989" width="9.140625" style="47"/>
    <col min="3990" max="3990" width="35.5703125" style="47" customWidth="1"/>
    <col min="3991" max="3991" width="19.140625" style="47" customWidth="1"/>
    <col min="3992" max="3992" width="18.5703125" style="47" customWidth="1"/>
    <col min="3993" max="3993" width="17.7109375" style="47" customWidth="1"/>
    <col min="3994" max="3994" width="20.140625" style="47" customWidth="1"/>
    <col min="3995" max="3995" width="12.140625" style="47" customWidth="1"/>
    <col min="3996" max="4005" width="9.140625" style="47" customWidth="1"/>
    <col min="4006" max="4006" width="14.5703125" style="47" customWidth="1"/>
    <col min="4007" max="4007" width="11.140625" style="47" customWidth="1"/>
    <col min="4008" max="4008" width="13.140625" style="47" customWidth="1"/>
    <col min="4009" max="4009" width="12.140625" style="47" customWidth="1"/>
    <col min="4010" max="4010" width="7.42578125" style="47" customWidth="1"/>
    <col min="4011" max="4011" width="13.28515625" style="47" customWidth="1"/>
    <col min="4012" max="4012" width="13.140625" style="47" customWidth="1"/>
    <col min="4013" max="4013" width="10.85546875" style="47" customWidth="1"/>
    <col min="4014" max="4014" width="14.28515625" style="47" customWidth="1"/>
    <col min="4015" max="4015" width="10.140625" style="47" customWidth="1"/>
    <col min="4016" max="4016" width="7.28515625" style="47" customWidth="1"/>
    <col min="4017" max="4017" width="11.85546875" style="47" customWidth="1"/>
    <col min="4018" max="4018" width="11.28515625" style="47" customWidth="1"/>
    <col min="4019" max="4019" width="8.85546875" style="47" customWidth="1"/>
    <col min="4020" max="4020" width="12.7109375" style="47" customWidth="1"/>
    <col min="4021" max="4023" width="9.140625" style="47" customWidth="1"/>
    <col min="4024" max="4024" width="11.42578125" style="47" customWidth="1"/>
    <col min="4025" max="4025" width="8.140625" style="47" customWidth="1"/>
    <col min="4026" max="4026" width="13.85546875" style="47" customWidth="1"/>
    <col min="4027" max="4027" width="13" style="47" customWidth="1"/>
    <col min="4028" max="4031" width="15" style="47" customWidth="1"/>
    <col min="4032" max="4032" width="14.85546875" style="47" customWidth="1"/>
    <col min="4033" max="4033" width="15.85546875" style="47" customWidth="1"/>
    <col min="4034" max="4034" width="15.7109375" style="47" customWidth="1"/>
    <col min="4035" max="4045" width="14.42578125" style="47" customWidth="1"/>
    <col min="4046" max="4049" width="15.5703125" style="47" customWidth="1"/>
    <col min="4050" max="4055" width="14.42578125" style="47" customWidth="1"/>
    <col min="4056" max="4056" width="10.140625" style="47" customWidth="1"/>
    <col min="4057" max="4057" width="16" style="47" customWidth="1"/>
    <col min="4058" max="4058" width="12.28515625" style="47" customWidth="1"/>
    <col min="4059" max="4059" width="12.5703125" style="47" customWidth="1"/>
    <col min="4060" max="4060" width="11" style="47" customWidth="1"/>
    <col min="4061" max="4062" width="13.42578125" style="47" customWidth="1"/>
    <col min="4063" max="4063" width="11.5703125" style="47" customWidth="1"/>
    <col min="4064" max="4064" width="14.140625" style="47" customWidth="1"/>
    <col min="4065" max="4065" width="7.42578125" style="47" customWidth="1"/>
    <col min="4066" max="4067" width="11.5703125" style="47" customWidth="1"/>
    <col min="4068" max="4068" width="9.5703125" style="47" customWidth="1"/>
    <col min="4069" max="4069" width="15.5703125" style="47" customWidth="1"/>
    <col min="4070" max="4070" width="14.28515625" style="47" customWidth="1"/>
    <col min="4071" max="4071" width="13.140625" style="47" customWidth="1"/>
    <col min="4072" max="4245" width="9.140625" style="47"/>
    <col min="4246" max="4246" width="35.5703125" style="47" customWidth="1"/>
    <col min="4247" max="4247" width="19.140625" style="47" customWidth="1"/>
    <col min="4248" max="4248" width="18.5703125" style="47" customWidth="1"/>
    <col min="4249" max="4249" width="17.7109375" style="47" customWidth="1"/>
    <col min="4250" max="4250" width="20.140625" style="47" customWidth="1"/>
    <col min="4251" max="4251" width="12.140625" style="47" customWidth="1"/>
    <col min="4252" max="4261" width="9.140625" style="47" customWidth="1"/>
    <col min="4262" max="4262" width="14.5703125" style="47" customWidth="1"/>
    <col min="4263" max="4263" width="11.140625" style="47" customWidth="1"/>
    <col min="4264" max="4264" width="13.140625" style="47" customWidth="1"/>
    <col min="4265" max="4265" width="12.140625" style="47" customWidth="1"/>
    <col min="4266" max="4266" width="7.42578125" style="47" customWidth="1"/>
    <col min="4267" max="4267" width="13.28515625" style="47" customWidth="1"/>
    <col min="4268" max="4268" width="13.140625" style="47" customWidth="1"/>
    <col min="4269" max="4269" width="10.85546875" style="47" customWidth="1"/>
    <col min="4270" max="4270" width="14.28515625" style="47" customWidth="1"/>
    <col min="4271" max="4271" width="10.140625" style="47" customWidth="1"/>
    <col min="4272" max="4272" width="7.28515625" style="47" customWidth="1"/>
    <col min="4273" max="4273" width="11.85546875" style="47" customWidth="1"/>
    <col min="4274" max="4274" width="11.28515625" style="47" customWidth="1"/>
    <col min="4275" max="4275" width="8.85546875" style="47" customWidth="1"/>
    <col min="4276" max="4276" width="12.7109375" style="47" customWidth="1"/>
    <col min="4277" max="4279" width="9.140625" style="47" customWidth="1"/>
    <col min="4280" max="4280" width="11.42578125" style="47" customWidth="1"/>
    <col min="4281" max="4281" width="8.140625" style="47" customWidth="1"/>
    <col min="4282" max="4282" width="13.85546875" style="47" customWidth="1"/>
    <col min="4283" max="4283" width="13" style="47" customWidth="1"/>
    <col min="4284" max="4287" width="15" style="47" customWidth="1"/>
    <col min="4288" max="4288" width="14.85546875" style="47" customWidth="1"/>
    <col min="4289" max="4289" width="15.85546875" style="47" customWidth="1"/>
    <col min="4290" max="4290" width="15.7109375" style="47" customWidth="1"/>
    <col min="4291" max="4301" width="14.42578125" style="47" customWidth="1"/>
    <col min="4302" max="4305" width="15.5703125" style="47" customWidth="1"/>
    <col min="4306" max="4311" width="14.42578125" style="47" customWidth="1"/>
    <col min="4312" max="4312" width="10.140625" style="47" customWidth="1"/>
    <col min="4313" max="4313" width="16" style="47" customWidth="1"/>
    <col min="4314" max="4314" width="12.28515625" style="47" customWidth="1"/>
    <col min="4315" max="4315" width="12.5703125" style="47" customWidth="1"/>
    <col min="4316" max="4316" width="11" style="47" customWidth="1"/>
    <col min="4317" max="4318" width="13.42578125" style="47" customWidth="1"/>
    <col min="4319" max="4319" width="11.5703125" style="47" customWidth="1"/>
    <col min="4320" max="4320" width="14.140625" style="47" customWidth="1"/>
    <col min="4321" max="4321" width="7.42578125" style="47" customWidth="1"/>
    <col min="4322" max="4323" width="11.5703125" style="47" customWidth="1"/>
    <col min="4324" max="4324" width="9.5703125" style="47" customWidth="1"/>
    <col min="4325" max="4325" width="15.5703125" style="47" customWidth="1"/>
    <col min="4326" max="4326" width="14.28515625" style="47" customWidth="1"/>
    <col min="4327" max="4327" width="13.140625" style="47" customWidth="1"/>
    <col min="4328" max="4501" width="9.140625" style="47"/>
    <col min="4502" max="4502" width="35.5703125" style="47" customWidth="1"/>
    <col min="4503" max="4503" width="19.140625" style="47" customWidth="1"/>
    <col min="4504" max="4504" width="18.5703125" style="47" customWidth="1"/>
    <col min="4505" max="4505" width="17.7109375" style="47" customWidth="1"/>
    <col min="4506" max="4506" width="20.140625" style="47" customWidth="1"/>
    <col min="4507" max="4507" width="12.140625" style="47" customWidth="1"/>
    <col min="4508" max="4517" width="9.140625" style="47" customWidth="1"/>
    <col min="4518" max="4518" width="14.5703125" style="47" customWidth="1"/>
    <col min="4519" max="4519" width="11.140625" style="47" customWidth="1"/>
    <col min="4520" max="4520" width="13.140625" style="47" customWidth="1"/>
    <col min="4521" max="4521" width="12.140625" style="47" customWidth="1"/>
    <col min="4522" max="4522" width="7.42578125" style="47" customWidth="1"/>
    <col min="4523" max="4523" width="13.28515625" style="47" customWidth="1"/>
    <col min="4524" max="4524" width="13.140625" style="47" customWidth="1"/>
    <col min="4525" max="4525" width="10.85546875" style="47" customWidth="1"/>
    <col min="4526" max="4526" width="14.28515625" style="47" customWidth="1"/>
    <col min="4527" max="4527" width="10.140625" style="47" customWidth="1"/>
    <col min="4528" max="4528" width="7.28515625" style="47" customWidth="1"/>
    <col min="4529" max="4529" width="11.85546875" style="47" customWidth="1"/>
    <col min="4530" max="4530" width="11.28515625" style="47" customWidth="1"/>
    <col min="4531" max="4531" width="8.85546875" style="47" customWidth="1"/>
    <col min="4532" max="4532" width="12.7109375" style="47" customWidth="1"/>
    <col min="4533" max="4535" width="9.140625" style="47" customWidth="1"/>
    <col min="4536" max="4536" width="11.42578125" style="47" customWidth="1"/>
    <col min="4537" max="4537" width="8.140625" style="47" customWidth="1"/>
    <col min="4538" max="4538" width="13.85546875" style="47" customWidth="1"/>
    <col min="4539" max="4539" width="13" style="47" customWidth="1"/>
    <col min="4540" max="4543" width="15" style="47" customWidth="1"/>
    <col min="4544" max="4544" width="14.85546875" style="47" customWidth="1"/>
    <col min="4545" max="4545" width="15.85546875" style="47" customWidth="1"/>
    <col min="4546" max="4546" width="15.7109375" style="47" customWidth="1"/>
    <col min="4547" max="4557" width="14.42578125" style="47" customWidth="1"/>
    <col min="4558" max="4561" width="15.5703125" style="47" customWidth="1"/>
    <col min="4562" max="4567" width="14.42578125" style="47" customWidth="1"/>
    <col min="4568" max="4568" width="10.140625" style="47" customWidth="1"/>
    <col min="4569" max="4569" width="16" style="47" customWidth="1"/>
    <col min="4570" max="4570" width="12.28515625" style="47" customWidth="1"/>
    <col min="4571" max="4571" width="12.5703125" style="47" customWidth="1"/>
    <col min="4572" max="4572" width="11" style="47" customWidth="1"/>
    <col min="4573" max="4574" width="13.42578125" style="47" customWidth="1"/>
    <col min="4575" max="4575" width="11.5703125" style="47" customWidth="1"/>
    <col min="4576" max="4576" width="14.140625" style="47" customWidth="1"/>
    <col min="4577" max="4577" width="7.42578125" style="47" customWidth="1"/>
    <col min="4578" max="4579" width="11.5703125" style="47" customWidth="1"/>
    <col min="4580" max="4580" width="9.5703125" style="47" customWidth="1"/>
    <col min="4581" max="4581" width="15.5703125" style="47" customWidth="1"/>
    <col min="4582" max="4582" width="14.28515625" style="47" customWidth="1"/>
    <col min="4583" max="4583" width="13.140625" style="47" customWidth="1"/>
    <col min="4584" max="4757" width="9.140625" style="47"/>
    <col min="4758" max="4758" width="35.5703125" style="47" customWidth="1"/>
    <col min="4759" max="4759" width="19.140625" style="47" customWidth="1"/>
    <col min="4760" max="4760" width="18.5703125" style="47" customWidth="1"/>
    <col min="4761" max="4761" width="17.7109375" style="47" customWidth="1"/>
    <col min="4762" max="4762" width="20.140625" style="47" customWidth="1"/>
    <col min="4763" max="4763" width="12.140625" style="47" customWidth="1"/>
    <col min="4764" max="4773" width="9.140625" style="47" customWidth="1"/>
    <col min="4774" max="4774" width="14.5703125" style="47" customWidth="1"/>
    <col min="4775" max="4775" width="11.140625" style="47" customWidth="1"/>
    <col min="4776" max="4776" width="13.140625" style="47" customWidth="1"/>
    <col min="4777" max="4777" width="12.140625" style="47" customWidth="1"/>
    <col min="4778" max="4778" width="7.42578125" style="47" customWidth="1"/>
    <col min="4779" max="4779" width="13.28515625" style="47" customWidth="1"/>
    <col min="4780" max="4780" width="13.140625" style="47" customWidth="1"/>
    <col min="4781" max="4781" width="10.85546875" style="47" customWidth="1"/>
    <col min="4782" max="4782" width="14.28515625" style="47" customWidth="1"/>
    <col min="4783" max="4783" width="10.140625" style="47" customWidth="1"/>
    <col min="4784" max="4784" width="7.28515625" style="47" customWidth="1"/>
    <col min="4785" max="4785" width="11.85546875" style="47" customWidth="1"/>
    <col min="4786" max="4786" width="11.28515625" style="47" customWidth="1"/>
    <col min="4787" max="4787" width="8.85546875" style="47" customWidth="1"/>
    <col min="4788" max="4788" width="12.7109375" style="47" customWidth="1"/>
    <col min="4789" max="4791" width="9.140625" style="47" customWidth="1"/>
    <col min="4792" max="4792" width="11.42578125" style="47" customWidth="1"/>
    <col min="4793" max="4793" width="8.140625" style="47" customWidth="1"/>
    <col min="4794" max="4794" width="13.85546875" style="47" customWidth="1"/>
    <col min="4795" max="4795" width="13" style="47" customWidth="1"/>
    <col min="4796" max="4799" width="15" style="47" customWidth="1"/>
    <col min="4800" max="4800" width="14.85546875" style="47" customWidth="1"/>
    <col min="4801" max="4801" width="15.85546875" style="47" customWidth="1"/>
    <col min="4802" max="4802" width="15.7109375" style="47" customWidth="1"/>
    <col min="4803" max="4813" width="14.42578125" style="47" customWidth="1"/>
    <col min="4814" max="4817" width="15.5703125" style="47" customWidth="1"/>
    <col min="4818" max="4823" width="14.42578125" style="47" customWidth="1"/>
    <col min="4824" max="4824" width="10.140625" style="47" customWidth="1"/>
    <col min="4825" max="4825" width="16" style="47" customWidth="1"/>
    <col min="4826" max="4826" width="12.28515625" style="47" customWidth="1"/>
    <col min="4827" max="4827" width="12.5703125" style="47" customWidth="1"/>
    <col min="4828" max="4828" width="11" style="47" customWidth="1"/>
    <col min="4829" max="4830" width="13.42578125" style="47" customWidth="1"/>
    <col min="4831" max="4831" width="11.5703125" style="47" customWidth="1"/>
    <col min="4832" max="4832" width="14.140625" style="47" customWidth="1"/>
    <col min="4833" max="4833" width="7.42578125" style="47" customWidth="1"/>
    <col min="4834" max="4835" width="11.5703125" style="47" customWidth="1"/>
    <col min="4836" max="4836" width="9.5703125" style="47" customWidth="1"/>
    <col min="4837" max="4837" width="15.5703125" style="47" customWidth="1"/>
    <col min="4838" max="4838" width="14.28515625" style="47" customWidth="1"/>
    <col min="4839" max="4839" width="13.140625" style="47" customWidth="1"/>
    <col min="4840" max="5013" width="9.140625" style="47"/>
    <col min="5014" max="5014" width="35.5703125" style="47" customWidth="1"/>
    <col min="5015" max="5015" width="19.140625" style="47" customWidth="1"/>
    <col min="5016" max="5016" width="18.5703125" style="47" customWidth="1"/>
    <col min="5017" max="5017" width="17.7109375" style="47" customWidth="1"/>
    <col min="5018" max="5018" width="20.140625" style="47" customWidth="1"/>
    <col min="5019" max="5019" width="12.140625" style="47" customWidth="1"/>
    <col min="5020" max="5029" width="9.140625" style="47" customWidth="1"/>
    <col min="5030" max="5030" width="14.5703125" style="47" customWidth="1"/>
    <col min="5031" max="5031" width="11.140625" style="47" customWidth="1"/>
    <col min="5032" max="5032" width="13.140625" style="47" customWidth="1"/>
    <col min="5033" max="5033" width="12.140625" style="47" customWidth="1"/>
    <col min="5034" max="5034" width="7.42578125" style="47" customWidth="1"/>
    <col min="5035" max="5035" width="13.28515625" style="47" customWidth="1"/>
    <col min="5036" max="5036" width="13.140625" style="47" customWidth="1"/>
    <col min="5037" max="5037" width="10.85546875" style="47" customWidth="1"/>
    <col min="5038" max="5038" width="14.28515625" style="47" customWidth="1"/>
    <col min="5039" max="5039" width="10.140625" style="47" customWidth="1"/>
    <col min="5040" max="5040" width="7.28515625" style="47" customWidth="1"/>
    <col min="5041" max="5041" width="11.85546875" style="47" customWidth="1"/>
    <col min="5042" max="5042" width="11.28515625" style="47" customWidth="1"/>
    <col min="5043" max="5043" width="8.85546875" style="47" customWidth="1"/>
    <col min="5044" max="5044" width="12.7109375" style="47" customWidth="1"/>
    <col min="5045" max="5047" width="9.140625" style="47" customWidth="1"/>
    <col min="5048" max="5048" width="11.42578125" style="47" customWidth="1"/>
    <col min="5049" max="5049" width="8.140625" style="47" customWidth="1"/>
    <col min="5050" max="5050" width="13.85546875" style="47" customWidth="1"/>
    <col min="5051" max="5051" width="13" style="47" customWidth="1"/>
    <col min="5052" max="5055" width="15" style="47" customWidth="1"/>
    <col min="5056" max="5056" width="14.85546875" style="47" customWidth="1"/>
    <col min="5057" max="5057" width="15.85546875" style="47" customWidth="1"/>
    <col min="5058" max="5058" width="15.7109375" style="47" customWidth="1"/>
    <col min="5059" max="5069" width="14.42578125" style="47" customWidth="1"/>
    <col min="5070" max="5073" width="15.5703125" style="47" customWidth="1"/>
    <col min="5074" max="5079" width="14.42578125" style="47" customWidth="1"/>
    <col min="5080" max="5080" width="10.140625" style="47" customWidth="1"/>
    <col min="5081" max="5081" width="16" style="47" customWidth="1"/>
    <col min="5082" max="5082" width="12.28515625" style="47" customWidth="1"/>
    <col min="5083" max="5083" width="12.5703125" style="47" customWidth="1"/>
    <col min="5084" max="5084" width="11" style="47" customWidth="1"/>
    <col min="5085" max="5086" width="13.42578125" style="47" customWidth="1"/>
    <col min="5087" max="5087" width="11.5703125" style="47" customWidth="1"/>
    <col min="5088" max="5088" width="14.140625" style="47" customWidth="1"/>
    <col min="5089" max="5089" width="7.42578125" style="47" customWidth="1"/>
    <col min="5090" max="5091" width="11.5703125" style="47" customWidth="1"/>
    <col min="5092" max="5092" width="9.5703125" style="47" customWidth="1"/>
    <col min="5093" max="5093" width="15.5703125" style="47" customWidth="1"/>
    <col min="5094" max="5094" width="14.28515625" style="47" customWidth="1"/>
    <col min="5095" max="5095" width="13.140625" style="47" customWidth="1"/>
    <col min="5096" max="5269" width="9.140625" style="47"/>
    <col min="5270" max="5270" width="35.5703125" style="47" customWidth="1"/>
    <col min="5271" max="5271" width="19.140625" style="47" customWidth="1"/>
    <col min="5272" max="5272" width="18.5703125" style="47" customWidth="1"/>
    <col min="5273" max="5273" width="17.7109375" style="47" customWidth="1"/>
    <col min="5274" max="5274" width="20.140625" style="47" customWidth="1"/>
    <col min="5275" max="5275" width="12.140625" style="47" customWidth="1"/>
    <col min="5276" max="5285" width="9.140625" style="47" customWidth="1"/>
    <col min="5286" max="5286" width="14.5703125" style="47" customWidth="1"/>
    <col min="5287" max="5287" width="11.140625" style="47" customWidth="1"/>
    <col min="5288" max="5288" width="13.140625" style="47" customWidth="1"/>
    <col min="5289" max="5289" width="12.140625" style="47" customWidth="1"/>
    <col min="5290" max="5290" width="7.42578125" style="47" customWidth="1"/>
    <col min="5291" max="5291" width="13.28515625" style="47" customWidth="1"/>
    <col min="5292" max="5292" width="13.140625" style="47" customWidth="1"/>
    <col min="5293" max="5293" width="10.85546875" style="47" customWidth="1"/>
    <col min="5294" max="5294" width="14.28515625" style="47" customWidth="1"/>
    <col min="5295" max="5295" width="10.140625" style="47" customWidth="1"/>
    <col min="5296" max="5296" width="7.28515625" style="47" customWidth="1"/>
    <col min="5297" max="5297" width="11.85546875" style="47" customWidth="1"/>
    <col min="5298" max="5298" width="11.28515625" style="47" customWidth="1"/>
    <col min="5299" max="5299" width="8.85546875" style="47" customWidth="1"/>
    <col min="5300" max="5300" width="12.7109375" style="47" customWidth="1"/>
    <col min="5301" max="5303" width="9.140625" style="47" customWidth="1"/>
    <col min="5304" max="5304" width="11.42578125" style="47" customWidth="1"/>
    <col min="5305" max="5305" width="8.140625" style="47" customWidth="1"/>
    <col min="5306" max="5306" width="13.85546875" style="47" customWidth="1"/>
    <col min="5307" max="5307" width="13" style="47" customWidth="1"/>
    <col min="5308" max="5311" width="15" style="47" customWidth="1"/>
    <col min="5312" max="5312" width="14.85546875" style="47" customWidth="1"/>
    <col min="5313" max="5313" width="15.85546875" style="47" customWidth="1"/>
    <col min="5314" max="5314" width="15.7109375" style="47" customWidth="1"/>
    <col min="5315" max="5325" width="14.42578125" style="47" customWidth="1"/>
    <col min="5326" max="5329" width="15.5703125" style="47" customWidth="1"/>
    <col min="5330" max="5335" width="14.42578125" style="47" customWidth="1"/>
    <col min="5336" max="5336" width="10.140625" style="47" customWidth="1"/>
    <col min="5337" max="5337" width="16" style="47" customWidth="1"/>
    <col min="5338" max="5338" width="12.28515625" style="47" customWidth="1"/>
    <col min="5339" max="5339" width="12.5703125" style="47" customWidth="1"/>
    <col min="5340" max="5340" width="11" style="47" customWidth="1"/>
    <col min="5341" max="5342" width="13.42578125" style="47" customWidth="1"/>
    <col min="5343" max="5343" width="11.5703125" style="47" customWidth="1"/>
    <col min="5344" max="5344" width="14.140625" style="47" customWidth="1"/>
    <col min="5345" max="5345" width="7.42578125" style="47" customWidth="1"/>
    <col min="5346" max="5347" width="11.5703125" style="47" customWidth="1"/>
    <col min="5348" max="5348" width="9.5703125" style="47" customWidth="1"/>
    <col min="5349" max="5349" width="15.5703125" style="47" customWidth="1"/>
    <col min="5350" max="5350" width="14.28515625" style="47" customWidth="1"/>
    <col min="5351" max="5351" width="13.140625" style="47" customWidth="1"/>
    <col min="5352" max="5525" width="9.140625" style="47"/>
    <col min="5526" max="5526" width="35.5703125" style="47" customWidth="1"/>
    <col min="5527" max="5527" width="19.140625" style="47" customWidth="1"/>
    <col min="5528" max="5528" width="18.5703125" style="47" customWidth="1"/>
    <col min="5529" max="5529" width="17.7109375" style="47" customWidth="1"/>
    <col min="5530" max="5530" width="20.140625" style="47" customWidth="1"/>
    <col min="5531" max="5531" width="12.140625" style="47" customWidth="1"/>
    <col min="5532" max="5541" width="9.140625" style="47" customWidth="1"/>
    <col min="5542" max="5542" width="14.5703125" style="47" customWidth="1"/>
    <col min="5543" max="5543" width="11.140625" style="47" customWidth="1"/>
    <col min="5544" max="5544" width="13.140625" style="47" customWidth="1"/>
    <col min="5545" max="5545" width="12.140625" style="47" customWidth="1"/>
    <col min="5546" max="5546" width="7.42578125" style="47" customWidth="1"/>
    <col min="5547" max="5547" width="13.28515625" style="47" customWidth="1"/>
    <col min="5548" max="5548" width="13.140625" style="47" customWidth="1"/>
    <col min="5549" max="5549" width="10.85546875" style="47" customWidth="1"/>
    <col min="5550" max="5550" width="14.28515625" style="47" customWidth="1"/>
    <col min="5551" max="5551" width="10.140625" style="47" customWidth="1"/>
    <col min="5552" max="5552" width="7.28515625" style="47" customWidth="1"/>
    <col min="5553" max="5553" width="11.85546875" style="47" customWidth="1"/>
    <col min="5554" max="5554" width="11.28515625" style="47" customWidth="1"/>
    <col min="5555" max="5555" width="8.85546875" style="47" customWidth="1"/>
    <col min="5556" max="5556" width="12.7109375" style="47" customWidth="1"/>
    <col min="5557" max="5559" width="9.140625" style="47" customWidth="1"/>
    <col min="5560" max="5560" width="11.42578125" style="47" customWidth="1"/>
    <col min="5561" max="5561" width="8.140625" style="47" customWidth="1"/>
    <col min="5562" max="5562" width="13.85546875" style="47" customWidth="1"/>
    <col min="5563" max="5563" width="13" style="47" customWidth="1"/>
    <col min="5564" max="5567" width="15" style="47" customWidth="1"/>
    <col min="5568" max="5568" width="14.85546875" style="47" customWidth="1"/>
    <col min="5569" max="5569" width="15.85546875" style="47" customWidth="1"/>
    <col min="5570" max="5570" width="15.7109375" style="47" customWidth="1"/>
    <col min="5571" max="5581" width="14.42578125" style="47" customWidth="1"/>
    <col min="5582" max="5585" width="15.5703125" style="47" customWidth="1"/>
    <col min="5586" max="5591" width="14.42578125" style="47" customWidth="1"/>
    <col min="5592" max="5592" width="10.140625" style="47" customWidth="1"/>
    <col min="5593" max="5593" width="16" style="47" customWidth="1"/>
    <col min="5594" max="5594" width="12.28515625" style="47" customWidth="1"/>
    <col min="5595" max="5595" width="12.5703125" style="47" customWidth="1"/>
    <col min="5596" max="5596" width="11" style="47" customWidth="1"/>
    <col min="5597" max="5598" width="13.42578125" style="47" customWidth="1"/>
    <col min="5599" max="5599" width="11.5703125" style="47" customWidth="1"/>
    <col min="5600" max="5600" width="14.140625" style="47" customWidth="1"/>
    <col min="5601" max="5601" width="7.42578125" style="47" customWidth="1"/>
    <col min="5602" max="5603" width="11.5703125" style="47" customWidth="1"/>
    <col min="5604" max="5604" width="9.5703125" style="47" customWidth="1"/>
    <col min="5605" max="5605" width="15.5703125" style="47" customWidth="1"/>
    <col min="5606" max="5606" width="14.28515625" style="47" customWidth="1"/>
    <col min="5607" max="5607" width="13.140625" style="47" customWidth="1"/>
    <col min="5608" max="5781" width="9.140625" style="47"/>
    <col min="5782" max="5782" width="35.5703125" style="47" customWidth="1"/>
    <col min="5783" max="5783" width="19.140625" style="47" customWidth="1"/>
    <col min="5784" max="5784" width="18.5703125" style="47" customWidth="1"/>
    <col min="5785" max="5785" width="17.7109375" style="47" customWidth="1"/>
    <col min="5786" max="5786" width="20.140625" style="47" customWidth="1"/>
    <col min="5787" max="5787" width="12.140625" style="47" customWidth="1"/>
    <col min="5788" max="5797" width="9.140625" style="47" customWidth="1"/>
    <col min="5798" max="5798" width="14.5703125" style="47" customWidth="1"/>
    <col min="5799" max="5799" width="11.140625" style="47" customWidth="1"/>
    <col min="5800" max="5800" width="13.140625" style="47" customWidth="1"/>
    <col min="5801" max="5801" width="12.140625" style="47" customWidth="1"/>
    <col min="5802" max="5802" width="7.42578125" style="47" customWidth="1"/>
    <col min="5803" max="5803" width="13.28515625" style="47" customWidth="1"/>
    <col min="5804" max="5804" width="13.140625" style="47" customWidth="1"/>
    <col min="5805" max="5805" width="10.85546875" style="47" customWidth="1"/>
    <col min="5806" max="5806" width="14.28515625" style="47" customWidth="1"/>
    <col min="5807" max="5807" width="10.140625" style="47" customWidth="1"/>
    <col min="5808" max="5808" width="7.28515625" style="47" customWidth="1"/>
    <col min="5809" max="5809" width="11.85546875" style="47" customWidth="1"/>
    <col min="5810" max="5810" width="11.28515625" style="47" customWidth="1"/>
    <col min="5811" max="5811" width="8.85546875" style="47" customWidth="1"/>
    <col min="5812" max="5812" width="12.7109375" style="47" customWidth="1"/>
    <col min="5813" max="5815" width="9.140625" style="47" customWidth="1"/>
    <col min="5816" max="5816" width="11.42578125" style="47" customWidth="1"/>
    <col min="5817" max="5817" width="8.140625" style="47" customWidth="1"/>
    <col min="5818" max="5818" width="13.85546875" style="47" customWidth="1"/>
    <col min="5819" max="5819" width="13" style="47" customWidth="1"/>
    <col min="5820" max="5823" width="15" style="47" customWidth="1"/>
    <col min="5824" max="5824" width="14.85546875" style="47" customWidth="1"/>
    <col min="5825" max="5825" width="15.85546875" style="47" customWidth="1"/>
    <col min="5826" max="5826" width="15.7109375" style="47" customWidth="1"/>
    <col min="5827" max="5837" width="14.42578125" style="47" customWidth="1"/>
    <col min="5838" max="5841" width="15.5703125" style="47" customWidth="1"/>
    <col min="5842" max="5847" width="14.42578125" style="47" customWidth="1"/>
    <col min="5848" max="5848" width="10.140625" style="47" customWidth="1"/>
    <col min="5849" max="5849" width="16" style="47" customWidth="1"/>
    <col min="5850" max="5850" width="12.28515625" style="47" customWidth="1"/>
    <col min="5851" max="5851" width="12.5703125" style="47" customWidth="1"/>
    <col min="5852" max="5852" width="11" style="47" customWidth="1"/>
    <col min="5853" max="5854" width="13.42578125" style="47" customWidth="1"/>
    <col min="5855" max="5855" width="11.5703125" style="47" customWidth="1"/>
    <col min="5856" max="5856" width="14.140625" style="47" customWidth="1"/>
    <col min="5857" max="5857" width="7.42578125" style="47" customWidth="1"/>
    <col min="5858" max="5859" width="11.5703125" style="47" customWidth="1"/>
    <col min="5860" max="5860" width="9.5703125" style="47" customWidth="1"/>
    <col min="5861" max="5861" width="15.5703125" style="47" customWidth="1"/>
    <col min="5862" max="5862" width="14.28515625" style="47" customWidth="1"/>
    <col min="5863" max="5863" width="13.140625" style="47" customWidth="1"/>
    <col min="5864" max="6037" width="9.140625" style="47"/>
    <col min="6038" max="6038" width="35.5703125" style="47" customWidth="1"/>
    <col min="6039" max="6039" width="19.140625" style="47" customWidth="1"/>
    <col min="6040" max="6040" width="18.5703125" style="47" customWidth="1"/>
    <col min="6041" max="6041" width="17.7109375" style="47" customWidth="1"/>
    <col min="6042" max="6042" width="20.140625" style="47" customWidth="1"/>
    <col min="6043" max="6043" width="12.140625" style="47" customWidth="1"/>
    <col min="6044" max="6053" width="9.140625" style="47" customWidth="1"/>
    <col min="6054" max="6054" width="14.5703125" style="47" customWidth="1"/>
    <col min="6055" max="6055" width="11.140625" style="47" customWidth="1"/>
    <col min="6056" max="6056" width="13.140625" style="47" customWidth="1"/>
    <col min="6057" max="6057" width="12.140625" style="47" customWidth="1"/>
    <col min="6058" max="6058" width="7.42578125" style="47" customWidth="1"/>
    <col min="6059" max="6059" width="13.28515625" style="47" customWidth="1"/>
    <col min="6060" max="6060" width="13.140625" style="47" customWidth="1"/>
    <col min="6061" max="6061" width="10.85546875" style="47" customWidth="1"/>
    <col min="6062" max="6062" width="14.28515625" style="47" customWidth="1"/>
    <col min="6063" max="6063" width="10.140625" style="47" customWidth="1"/>
    <col min="6064" max="6064" width="7.28515625" style="47" customWidth="1"/>
    <col min="6065" max="6065" width="11.85546875" style="47" customWidth="1"/>
    <col min="6066" max="6066" width="11.28515625" style="47" customWidth="1"/>
    <col min="6067" max="6067" width="8.85546875" style="47" customWidth="1"/>
    <col min="6068" max="6068" width="12.7109375" style="47" customWidth="1"/>
    <col min="6069" max="6071" width="9.140625" style="47" customWidth="1"/>
    <col min="6072" max="6072" width="11.42578125" style="47" customWidth="1"/>
    <col min="6073" max="6073" width="8.140625" style="47" customWidth="1"/>
    <col min="6074" max="6074" width="13.85546875" style="47" customWidth="1"/>
    <col min="6075" max="6075" width="13" style="47" customWidth="1"/>
    <col min="6076" max="6079" width="15" style="47" customWidth="1"/>
    <col min="6080" max="6080" width="14.85546875" style="47" customWidth="1"/>
    <col min="6081" max="6081" width="15.85546875" style="47" customWidth="1"/>
    <col min="6082" max="6082" width="15.7109375" style="47" customWidth="1"/>
    <col min="6083" max="6093" width="14.42578125" style="47" customWidth="1"/>
    <col min="6094" max="6097" width="15.5703125" style="47" customWidth="1"/>
    <col min="6098" max="6103" width="14.42578125" style="47" customWidth="1"/>
    <col min="6104" max="6104" width="10.140625" style="47" customWidth="1"/>
    <col min="6105" max="6105" width="16" style="47" customWidth="1"/>
    <col min="6106" max="6106" width="12.28515625" style="47" customWidth="1"/>
    <col min="6107" max="6107" width="12.5703125" style="47" customWidth="1"/>
    <col min="6108" max="6108" width="11" style="47" customWidth="1"/>
    <col min="6109" max="6110" width="13.42578125" style="47" customWidth="1"/>
    <col min="6111" max="6111" width="11.5703125" style="47" customWidth="1"/>
    <col min="6112" max="6112" width="14.140625" style="47" customWidth="1"/>
    <col min="6113" max="6113" width="7.42578125" style="47" customWidth="1"/>
    <col min="6114" max="6115" width="11.5703125" style="47" customWidth="1"/>
    <col min="6116" max="6116" width="9.5703125" style="47" customWidth="1"/>
    <col min="6117" max="6117" width="15.5703125" style="47" customWidth="1"/>
    <col min="6118" max="6118" width="14.28515625" style="47" customWidth="1"/>
    <col min="6119" max="6119" width="13.140625" style="47" customWidth="1"/>
    <col min="6120" max="6293" width="9.140625" style="47"/>
    <col min="6294" max="6294" width="35.5703125" style="47" customWidth="1"/>
    <col min="6295" max="6295" width="19.140625" style="47" customWidth="1"/>
    <col min="6296" max="6296" width="18.5703125" style="47" customWidth="1"/>
    <col min="6297" max="6297" width="17.7109375" style="47" customWidth="1"/>
    <col min="6298" max="6298" width="20.140625" style="47" customWidth="1"/>
    <col min="6299" max="6299" width="12.140625" style="47" customWidth="1"/>
    <col min="6300" max="6309" width="9.140625" style="47" customWidth="1"/>
    <col min="6310" max="6310" width="14.5703125" style="47" customWidth="1"/>
    <col min="6311" max="6311" width="11.140625" style="47" customWidth="1"/>
    <col min="6312" max="6312" width="13.140625" style="47" customWidth="1"/>
    <col min="6313" max="6313" width="12.140625" style="47" customWidth="1"/>
    <col min="6314" max="6314" width="7.42578125" style="47" customWidth="1"/>
    <col min="6315" max="6315" width="13.28515625" style="47" customWidth="1"/>
    <col min="6316" max="6316" width="13.140625" style="47" customWidth="1"/>
    <col min="6317" max="6317" width="10.85546875" style="47" customWidth="1"/>
    <col min="6318" max="6318" width="14.28515625" style="47" customWidth="1"/>
    <col min="6319" max="6319" width="10.140625" style="47" customWidth="1"/>
    <col min="6320" max="6320" width="7.28515625" style="47" customWidth="1"/>
    <col min="6321" max="6321" width="11.85546875" style="47" customWidth="1"/>
    <col min="6322" max="6322" width="11.28515625" style="47" customWidth="1"/>
    <col min="6323" max="6323" width="8.85546875" style="47" customWidth="1"/>
    <col min="6324" max="6324" width="12.7109375" style="47" customWidth="1"/>
    <col min="6325" max="6327" width="9.140625" style="47" customWidth="1"/>
    <col min="6328" max="6328" width="11.42578125" style="47" customWidth="1"/>
    <col min="6329" max="6329" width="8.140625" style="47" customWidth="1"/>
    <col min="6330" max="6330" width="13.85546875" style="47" customWidth="1"/>
    <col min="6331" max="6331" width="13" style="47" customWidth="1"/>
    <col min="6332" max="6335" width="15" style="47" customWidth="1"/>
    <col min="6336" max="6336" width="14.85546875" style="47" customWidth="1"/>
    <col min="6337" max="6337" width="15.85546875" style="47" customWidth="1"/>
    <col min="6338" max="6338" width="15.7109375" style="47" customWidth="1"/>
    <col min="6339" max="6349" width="14.42578125" style="47" customWidth="1"/>
    <col min="6350" max="6353" width="15.5703125" style="47" customWidth="1"/>
    <col min="6354" max="6359" width="14.42578125" style="47" customWidth="1"/>
    <col min="6360" max="6360" width="10.140625" style="47" customWidth="1"/>
    <col min="6361" max="6361" width="16" style="47" customWidth="1"/>
    <col min="6362" max="6362" width="12.28515625" style="47" customWidth="1"/>
    <col min="6363" max="6363" width="12.5703125" style="47" customWidth="1"/>
    <col min="6364" max="6364" width="11" style="47" customWidth="1"/>
    <col min="6365" max="6366" width="13.42578125" style="47" customWidth="1"/>
    <col min="6367" max="6367" width="11.5703125" style="47" customWidth="1"/>
    <col min="6368" max="6368" width="14.140625" style="47" customWidth="1"/>
    <col min="6369" max="6369" width="7.42578125" style="47" customWidth="1"/>
    <col min="6370" max="6371" width="11.5703125" style="47" customWidth="1"/>
    <col min="6372" max="6372" width="9.5703125" style="47" customWidth="1"/>
    <col min="6373" max="6373" width="15.5703125" style="47" customWidth="1"/>
    <col min="6374" max="6374" width="14.28515625" style="47" customWidth="1"/>
    <col min="6375" max="6375" width="13.140625" style="47" customWidth="1"/>
    <col min="6376" max="6549" width="9.140625" style="47"/>
    <col min="6550" max="6550" width="35.5703125" style="47" customWidth="1"/>
    <col min="6551" max="6551" width="19.140625" style="47" customWidth="1"/>
    <col min="6552" max="6552" width="18.5703125" style="47" customWidth="1"/>
    <col min="6553" max="6553" width="17.7109375" style="47" customWidth="1"/>
    <col min="6554" max="6554" width="20.140625" style="47" customWidth="1"/>
    <col min="6555" max="6555" width="12.140625" style="47" customWidth="1"/>
    <col min="6556" max="6565" width="9.140625" style="47" customWidth="1"/>
    <col min="6566" max="6566" width="14.5703125" style="47" customWidth="1"/>
    <col min="6567" max="6567" width="11.140625" style="47" customWidth="1"/>
    <col min="6568" max="6568" width="13.140625" style="47" customWidth="1"/>
    <col min="6569" max="6569" width="12.140625" style="47" customWidth="1"/>
    <col min="6570" max="6570" width="7.42578125" style="47" customWidth="1"/>
    <col min="6571" max="6571" width="13.28515625" style="47" customWidth="1"/>
    <col min="6572" max="6572" width="13.140625" style="47" customWidth="1"/>
    <col min="6573" max="6573" width="10.85546875" style="47" customWidth="1"/>
    <col min="6574" max="6574" width="14.28515625" style="47" customWidth="1"/>
    <col min="6575" max="6575" width="10.140625" style="47" customWidth="1"/>
    <col min="6576" max="6576" width="7.28515625" style="47" customWidth="1"/>
    <col min="6577" max="6577" width="11.85546875" style="47" customWidth="1"/>
    <col min="6578" max="6578" width="11.28515625" style="47" customWidth="1"/>
    <col min="6579" max="6579" width="8.85546875" style="47" customWidth="1"/>
    <col min="6580" max="6580" width="12.7109375" style="47" customWidth="1"/>
    <col min="6581" max="6583" width="9.140625" style="47" customWidth="1"/>
    <col min="6584" max="6584" width="11.42578125" style="47" customWidth="1"/>
    <col min="6585" max="6585" width="8.140625" style="47" customWidth="1"/>
    <col min="6586" max="6586" width="13.85546875" style="47" customWidth="1"/>
    <col min="6587" max="6587" width="13" style="47" customWidth="1"/>
    <col min="6588" max="6591" width="15" style="47" customWidth="1"/>
    <col min="6592" max="6592" width="14.85546875" style="47" customWidth="1"/>
    <col min="6593" max="6593" width="15.85546875" style="47" customWidth="1"/>
    <col min="6594" max="6594" width="15.7109375" style="47" customWidth="1"/>
    <col min="6595" max="6605" width="14.42578125" style="47" customWidth="1"/>
    <col min="6606" max="6609" width="15.5703125" style="47" customWidth="1"/>
    <col min="6610" max="6615" width="14.42578125" style="47" customWidth="1"/>
    <col min="6616" max="6616" width="10.140625" style="47" customWidth="1"/>
    <col min="6617" max="6617" width="16" style="47" customWidth="1"/>
    <col min="6618" max="6618" width="12.28515625" style="47" customWidth="1"/>
    <col min="6619" max="6619" width="12.5703125" style="47" customWidth="1"/>
    <col min="6620" max="6620" width="11" style="47" customWidth="1"/>
    <col min="6621" max="6622" width="13.42578125" style="47" customWidth="1"/>
    <col min="6623" max="6623" width="11.5703125" style="47" customWidth="1"/>
    <col min="6624" max="6624" width="14.140625" style="47" customWidth="1"/>
    <col min="6625" max="6625" width="7.42578125" style="47" customWidth="1"/>
    <col min="6626" max="6627" width="11.5703125" style="47" customWidth="1"/>
    <col min="6628" max="6628" width="9.5703125" style="47" customWidth="1"/>
    <col min="6629" max="6629" width="15.5703125" style="47" customWidth="1"/>
    <col min="6630" max="6630" width="14.28515625" style="47" customWidth="1"/>
    <col min="6631" max="6631" width="13.140625" style="47" customWidth="1"/>
    <col min="6632" max="6805" width="9.140625" style="47"/>
    <col min="6806" max="6806" width="35.5703125" style="47" customWidth="1"/>
    <col min="6807" max="6807" width="19.140625" style="47" customWidth="1"/>
    <col min="6808" max="6808" width="18.5703125" style="47" customWidth="1"/>
    <col min="6809" max="6809" width="17.7109375" style="47" customWidth="1"/>
    <col min="6810" max="6810" width="20.140625" style="47" customWidth="1"/>
    <col min="6811" max="6811" width="12.140625" style="47" customWidth="1"/>
    <col min="6812" max="6821" width="9.140625" style="47" customWidth="1"/>
    <col min="6822" max="6822" width="14.5703125" style="47" customWidth="1"/>
    <col min="6823" max="6823" width="11.140625" style="47" customWidth="1"/>
    <col min="6824" max="6824" width="13.140625" style="47" customWidth="1"/>
    <col min="6825" max="6825" width="12.140625" style="47" customWidth="1"/>
    <col min="6826" max="6826" width="7.42578125" style="47" customWidth="1"/>
    <col min="6827" max="6827" width="13.28515625" style="47" customWidth="1"/>
    <col min="6828" max="6828" width="13.140625" style="47" customWidth="1"/>
    <col min="6829" max="6829" width="10.85546875" style="47" customWidth="1"/>
    <col min="6830" max="6830" width="14.28515625" style="47" customWidth="1"/>
    <col min="6831" max="6831" width="10.140625" style="47" customWidth="1"/>
    <col min="6832" max="6832" width="7.28515625" style="47" customWidth="1"/>
    <col min="6833" max="6833" width="11.85546875" style="47" customWidth="1"/>
    <col min="6834" max="6834" width="11.28515625" style="47" customWidth="1"/>
    <col min="6835" max="6835" width="8.85546875" style="47" customWidth="1"/>
    <col min="6836" max="6836" width="12.7109375" style="47" customWidth="1"/>
    <col min="6837" max="6839" width="9.140625" style="47" customWidth="1"/>
    <col min="6840" max="6840" width="11.42578125" style="47" customWidth="1"/>
    <col min="6841" max="6841" width="8.140625" style="47" customWidth="1"/>
    <col min="6842" max="6842" width="13.85546875" style="47" customWidth="1"/>
    <col min="6843" max="6843" width="13" style="47" customWidth="1"/>
    <col min="6844" max="6847" width="15" style="47" customWidth="1"/>
    <col min="6848" max="6848" width="14.85546875" style="47" customWidth="1"/>
    <col min="6849" max="6849" width="15.85546875" style="47" customWidth="1"/>
    <col min="6850" max="6850" width="15.7109375" style="47" customWidth="1"/>
    <col min="6851" max="6861" width="14.42578125" style="47" customWidth="1"/>
    <col min="6862" max="6865" width="15.5703125" style="47" customWidth="1"/>
    <col min="6866" max="6871" width="14.42578125" style="47" customWidth="1"/>
    <col min="6872" max="6872" width="10.140625" style="47" customWidth="1"/>
    <col min="6873" max="6873" width="16" style="47" customWidth="1"/>
    <col min="6874" max="6874" width="12.28515625" style="47" customWidth="1"/>
    <col min="6875" max="6875" width="12.5703125" style="47" customWidth="1"/>
    <col min="6876" max="6876" width="11" style="47" customWidth="1"/>
    <col min="6877" max="6878" width="13.42578125" style="47" customWidth="1"/>
    <col min="6879" max="6879" width="11.5703125" style="47" customWidth="1"/>
    <col min="6880" max="6880" width="14.140625" style="47" customWidth="1"/>
    <col min="6881" max="6881" width="7.42578125" style="47" customWidth="1"/>
    <col min="6882" max="6883" width="11.5703125" style="47" customWidth="1"/>
    <col min="6884" max="6884" width="9.5703125" style="47" customWidth="1"/>
    <col min="6885" max="6885" width="15.5703125" style="47" customWidth="1"/>
    <col min="6886" max="6886" width="14.28515625" style="47" customWidth="1"/>
    <col min="6887" max="6887" width="13.140625" style="47" customWidth="1"/>
    <col min="6888" max="7061" width="9.140625" style="47"/>
    <col min="7062" max="7062" width="35.5703125" style="47" customWidth="1"/>
    <col min="7063" max="7063" width="19.140625" style="47" customWidth="1"/>
    <col min="7064" max="7064" width="18.5703125" style="47" customWidth="1"/>
    <col min="7065" max="7065" width="17.7109375" style="47" customWidth="1"/>
    <col min="7066" max="7066" width="20.140625" style="47" customWidth="1"/>
    <col min="7067" max="7067" width="12.140625" style="47" customWidth="1"/>
    <col min="7068" max="7077" width="9.140625" style="47" customWidth="1"/>
    <col min="7078" max="7078" width="14.5703125" style="47" customWidth="1"/>
    <col min="7079" max="7079" width="11.140625" style="47" customWidth="1"/>
    <col min="7080" max="7080" width="13.140625" style="47" customWidth="1"/>
    <col min="7081" max="7081" width="12.140625" style="47" customWidth="1"/>
    <col min="7082" max="7082" width="7.42578125" style="47" customWidth="1"/>
    <col min="7083" max="7083" width="13.28515625" style="47" customWidth="1"/>
    <col min="7084" max="7084" width="13.140625" style="47" customWidth="1"/>
    <col min="7085" max="7085" width="10.85546875" style="47" customWidth="1"/>
    <col min="7086" max="7086" width="14.28515625" style="47" customWidth="1"/>
    <col min="7087" max="7087" width="10.140625" style="47" customWidth="1"/>
    <col min="7088" max="7088" width="7.28515625" style="47" customWidth="1"/>
    <col min="7089" max="7089" width="11.85546875" style="47" customWidth="1"/>
    <col min="7090" max="7090" width="11.28515625" style="47" customWidth="1"/>
    <col min="7091" max="7091" width="8.85546875" style="47" customWidth="1"/>
    <col min="7092" max="7092" width="12.7109375" style="47" customWidth="1"/>
    <col min="7093" max="7095" width="9.140625" style="47" customWidth="1"/>
    <col min="7096" max="7096" width="11.42578125" style="47" customWidth="1"/>
    <col min="7097" max="7097" width="8.140625" style="47" customWidth="1"/>
    <col min="7098" max="7098" width="13.85546875" style="47" customWidth="1"/>
    <col min="7099" max="7099" width="13" style="47" customWidth="1"/>
    <col min="7100" max="7103" width="15" style="47" customWidth="1"/>
    <col min="7104" max="7104" width="14.85546875" style="47" customWidth="1"/>
    <col min="7105" max="7105" width="15.85546875" style="47" customWidth="1"/>
    <col min="7106" max="7106" width="15.7109375" style="47" customWidth="1"/>
    <col min="7107" max="7117" width="14.42578125" style="47" customWidth="1"/>
    <col min="7118" max="7121" width="15.5703125" style="47" customWidth="1"/>
    <col min="7122" max="7127" width="14.42578125" style="47" customWidth="1"/>
    <col min="7128" max="7128" width="10.140625" style="47" customWidth="1"/>
    <col min="7129" max="7129" width="16" style="47" customWidth="1"/>
    <col min="7130" max="7130" width="12.28515625" style="47" customWidth="1"/>
    <col min="7131" max="7131" width="12.5703125" style="47" customWidth="1"/>
    <col min="7132" max="7132" width="11" style="47" customWidth="1"/>
    <col min="7133" max="7134" width="13.42578125" style="47" customWidth="1"/>
    <col min="7135" max="7135" width="11.5703125" style="47" customWidth="1"/>
    <col min="7136" max="7136" width="14.140625" style="47" customWidth="1"/>
    <col min="7137" max="7137" width="7.42578125" style="47" customWidth="1"/>
    <col min="7138" max="7139" width="11.5703125" style="47" customWidth="1"/>
    <col min="7140" max="7140" width="9.5703125" style="47" customWidth="1"/>
    <col min="7141" max="7141" width="15.5703125" style="47" customWidth="1"/>
    <col min="7142" max="7142" width="14.28515625" style="47" customWidth="1"/>
    <col min="7143" max="7143" width="13.140625" style="47" customWidth="1"/>
    <col min="7144" max="7317" width="9.140625" style="47"/>
    <col min="7318" max="7318" width="35.5703125" style="47" customWidth="1"/>
    <col min="7319" max="7319" width="19.140625" style="47" customWidth="1"/>
    <col min="7320" max="7320" width="18.5703125" style="47" customWidth="1"/>
    <col min="7321" max="7321" width="17.7109375" style="47" customWidth="1"/>
    <col min="7322" max="7322" width="20.140625" style="47" customWidth="1"/>
    <col min="7323" max="7323" width="12.140625" style="47" customWidth="1"/>
    <col min="7324" max="7333" width="9.140625" style="47" customWidth="1"/>
    <col min="7334" max="7334" width="14.5703125" style="47" customWidth="1"/>
    <col min="7335" max="7335" width="11.140625" style="47" customWidth="1"/>
    <col min="7336" max="7336" width="13.140625" style="47" customWidth="1"/>
    <col min="7337" max="7337" width="12.140625" style="47" customWidth="1"/>
    <col min="7338" max="7338" width="7.42578125" style="47" customWidth="1"/>
    <col min="7339" max="7339" width="13.28515625" style="47" customWidth="1"/>
    <col min="7340" max="7340" width="13.140625" style="47" customWidth="1"/>
    <col min="7341" max="7341" width="10.85546875" style="47" customWidth="1"/>
    <col min="7342" max="7342" width="14.28515625" style="47" customWidth="1"/>
    <col min="7343" max="7343" width="10.140625" style="47" customWidth="1"/>
    <col min="7344" max="7344" width="7.28515625" style="47" customWidth="1"/>
    <col min="7345" max="7345" width="11.85546875" style="47" customWidth="1"/>
    <col min="7346" max="7346" width="11.28515625" style="47" customWidth="1"/>
    <col min="7347" max="7347" width="8.85546875" style="47" customWidth="1"/>
    <col min="7348" max="7348" width="12.7109375" style="47" customWidth="1"/>
    <col min="7349" max="7351" width="9.140625" style="47" customWidth="1"/>
    <col min="7352" max="7352" width="11.42578125" style="47" customWidth="1"/>
    <col min="7353" max="7353" width="8.140625" style="47" customWidth="1"/>
    <col min="7354" max="7354" width="13.85546875" style="47" customWidth="1"/>
    <col min="7355" max="7355" width="13" style="47" customWidth="1"/>
    <col min="7356" max="7359" width="15" style="47" customWidth="1"/>
    <col min="7360" max="7360" width="14.85546875" style="47" customWidth="1"/>
    <col min="7361" max="7361" width="15.85546875" style="47" customWidth="1"/>
    <col min="7362" max="7362" width="15.7109375" style="47" customWidth="1"/>
    <col min="7363" max="7373" width="14.42578125" style="47" customWidth="1"/>
    <col min="7374" max="7377" width="15.5703125" style="47" customWidth="1"/>
    <col min="7378" max="7383" width="14.42578125" style="47" customWidth="1"/>
    <col min="7384" max="7384" width="10.140625" style="47" customWidth="1"/>
    <col min="7385" max="7385" width="16" style="47" customWidth="1"/>
    <col min="7386" max="7386" width="12.28515625" style="47" customWidth="1"/>
    <col min="7387" max="7387" width="12.5703125" style="47" customWidth="1"/>
    <col min="7388" max="7388" width="11" style="47" customWidth="1"/>
    <col min="7389" max="7390" width="13.42578125" style="47" customWidth="1"/>
    <col min="7391" max="7391" width="11.5703125" style="47" customWidth="1"/>
    <col min="7392" max="7392" width="14.140625" style="47" customWidth="1"/>
    <col min="7393" max="7393" width="7.42578125" style="47" customWidth="1"/>
    <col min="7394" max="7395" width="11.5703125" style="47" customWidth="1"/>
    <col min="7396" max="7396" width="9.5703125" style="47" customWidth="1"/>
    <col min="7397" max="7397" width="15.5703125" style="47" customWidth="1"/>
    <col min="7398" max="7398" width="14.28515625" style="47" customWidth="1"/>
    <col min="7399" max="7399" width="13.140625" style="47" customWidth="1"/>
    <col min="7400" max="7573" width="9.140625" style="47"/>
    <col min="7574" max="7574" width="35.5703125" style="47" customWidth="1"/>
    <col min="7575" max="7575" width="19.140625" style="47" customWidth="1"/>
    <col min="7576" max="7576" width="18.5703125" style="47" customWidth="1"/>
    <col min="7577" max="7577" width="17.7109375" style="47" customWidth="1"/>
    <col min="7578" max="7578" width="20.140625" style="47" customWidth="1"/>
    <col min="7579" max="7579" width="12.140625" style="47" customWidth="1"/>
    <col min="7580" max="7589" width="9.140625" style="47" customWidth="1"/>
    <col min="7590" max="7590" width="14.5703125" style="47" customWidth="1"/>
    <col min="7591" max="7591" width="11.140625" style="47" customWidth="1"/>
    <col min="7592" max="7592" width="13.140625" style="47" customWidth="1"/>
    <col min="7593" max="7593" width="12.140625" style="47" customWidth="1"/>
    <col min="7594" max="7594" width="7.42578125" style="47" customWidth="1"/>
    <col min="7595" max="7595" width="13.28515625" style="47" customWidth="1"/>
    <col min="7596" max="7596" width="13.140625" style="47" customWidth="1"/>
    <col min="7597" max="7597" width="10.85546875" style="47" customWidth="1"/>
    <col min="7598" max="7598" width="14.28515625" style="47" customWidth="1"/>
    <col min="7599" max="7599" width="10.140625" style="47" customWidth="1"/>
    <col min="7600" max="7600" width="7.28515625" style="47" customWidth="1"/>
    <col min="7601" max="7601" width="11.85546875" style="47" customWidth="1"/>
    <col min="7602" max="7602" width="11.28515625" style="47" customWidth="1"/>
    <col min="7603" max="7603" width="8.85546875" style="47" customWidth="1"/>
    <col min="7604" max="7604" width="12.7109375" style="47" customWidth="1"/>
    <col min="7605" max="7607" width="9.140625" style="47" customWidth="1"/>
    <col min="7608" max="7608" width="11.42578125" style="47" customWidth="1"/>
    <col min="7609" max="7609" width="8.140625" style="47" customWidth="1"/>
    <col min="7610" max="7610" width="13.85546875" style="47" customWidth="1"/>
    <col min="7611" max="7611" width="13" style="47" customWidth="1"/>
    <col min="7612" max="7615" width="15" style="47" customWidth="1"/>
    <col min="7616" max="7616" width="14.85546875" style="47" customWidth="1"/>
    <col min="7617" max="7617" width="15.85546875" style="47" customWidth="1"/>
    <col min="7618" max="7618" width="15.7109375" style="47" customWidth="1"/>
    <col min="7619" max="7629" width="14.42578125" style="47" customWidth="1"/>
    <col min="7630" max="7633" width="15.5703125" style="47" customWidth="1"/>
    <col min="7634" max="7639" width="14.42578125" style="47" customWidth="1"/>
    <col min="7640" max="7640" width="10.140625" style="47" customWidth="1"/>
    <col min="7641" max="7641" width="16" style="47" customWidth="1"/>
    <col min="7642" max="7642" width="12.28515625" style="47" customWidth="1"/>
    <col min="7643" max="7643" width="12.5703125" style="47" customWidth="1"/>
    <col min="7644" max="7644" width="11" style="47" customWidth="1"/>
    <col min="7645" max="7646" width="13.42578125" style="47" customWidth="1"/>
    <col min="7647" max="7647" width="11.5703125" style="47" customWidth="1"/>
    <col min="7648" max="7648" width="14.140625" style="47" customWidth="1"/>
    <col min="7649" max="7649" width="7.42578125" style="47" customWidth="1"/>
    <col min="7650" max="7651" width="11.5703125" style="47" customWidth="1"/>
    <col min="7652" max="7652" width="9.5703125" style="47" customWidth="1"/>
    <col min="7653" max="7653" width="15.5703125" style="47" customWidth="1"/>
    <col min="7654" max="7654" width="14.28515625" style="47" customWidth="1"/>
    <col min="7655" max="7655" width="13.140625" style="47" customWidth="1"/>
    <col min="7656" max="7829" width="9.140625" style="47"/>
    <col min="7830" max="7830" width="35.5703125" style="47" customWidth="1"/>
    <col min="7831" max="7831" width="19.140625" style="47" customWidth="1"/>
    <col min="7832" max="7832" width="18.5703125" style="47" customWidth="1"/>
    <col min="7833" max="7833" width="17.7109375" style="47" customWidth="1"/>
    <col min="7834" max="7834" width="20.140625" style="47" customWidth="1"/>
    <col min="7835" max="7835" width="12.140625" style="47" customWidth="1"/>
    <col min="7836" max="7845" width="9.140625" style="47" customWidth="1"/>
    <col min="7846" max="7846" width="14.5703125" style="47" customWidth="1"/>
    <col min="7847" max="7847" width="11.140625" style="47" customWidth="1"/>
    <col min="7848" max="7848" width="13.140625" style="47" customWidth="1"/>
    <col min="7849" max="7849" width="12.140625" style="47" customWidth="1"/>
    <col min="7850" max="7850" width="7.42578125" style="47" customWidth="1"/>
    <col min="7851" max="7851" width="13.28515625" style="47" customWidth="1"/>
    <col min="7852" max="7852" width="13.140625" style="47" customWidth="1"/>
    <col min="7853" max="7853" width="10.85546875" style="47" customWidth="1"/>
    <col min="7854" max="7854" width="14.28515625" style="47" customWidth="1"/>
    <col min="7855" max="7855" width="10.140625" style="47" customWidth="1"/>
    <col min="7856" max="7856" width="7.28515625" style="47" customWidth="1"/>
    <col min="7857" max="7857" width="11.85546875" style="47" customWidth="1"/>
    <col min="7858" max="7858" width="11.28515625" style="47" customWidth="1"/>
    <col min="7859" max="7859" width="8.85546875" style="47" customWidth="1"/>
    <col min="7860" max="7860" width="12.7109375" style="47" customWidth="1"/>
    <col min="7861" max="7863" width="9.140625" style="47" customWidth="1"/>
    <col min="7864" max="7864" width="11.42578125" style="47" customWidth="1"/>
    <col min="7865" max="7865" width="8.140625" style="47" customWidth="1"/>
    <col min="7866" max="7866" width="13.85546875" style="47" customWidth="1"/>
    <col min="7867" max="7867" width="13" style="47" customWidth="1"/>
    <col min="7868" max="7871" width="15" style="47" customWidth="1"/>
    <col min="7872" max="7872" width="14.85546875" style="47" customWidth="1"/>
    <col min="7873" max="7873" width="15.85546875" style="47" customWidth="1"/>
    <col min="7874" max="7874" width="15.7109375" style="47" customWidth="1"/>
    <col min="7875" max="7885" width="14.42578125" style="47" customWidth="1"/>
    <col min="7886" max="7889" width="15.5703125" style="47" customWidth="1"/>
    <col min="7890" max="7895" width="14.42578125" style="47" customWidth="1"/>
    <col min="7896" max="7896" width="10.140625" style="47" customWidth="1"/>
    <col min="7897" max="7897" width="16" style="47" customWidth="1"/>
    <col min="7898" max="7898" width="12.28515625" style="47" customWidth="1"/>
    <col min="7899" max="7899" width="12.5703125" style="47" customWidth="1"/>
    <col min="7900" max="7900" width="11" style="47" customWidth="1"/>
    <col min="7901" max="7902" width="13.42578125" style="47" customWidth="1"/>
    <col min="7903" max="7903" width="11.5703125" style="47" customWidth="1"/>
    <col min="7904" max="7904" width="14.140625" style="47" customWidth="1"/>
    <col min="7905" max="7905" width="7.42578125" style="47" customWidth="1"/>
    <col min="7906" max="7907" width="11.5703125" style="47" customWidth="1"/>
    <col min="7908" max="7908" width="9.5703125" style="47" customWidth="1"/>
    <col min="7909" max="7909" width="15.5703125" style="47" customWidth="1"/>
    <col min="7910" max="7910" width="14.28515625" style="47" customWidth="1"/>
    <col min="7911" max="7911" width="13.140625" style="47" customWidth="1"/>
    <col min="7912" max="8085" width="9.140625" style="47"/>
    <col min="8086" max="8086" width="35.5703125" style="47" customWidth="1"/>
    <col min="8087" max="8087" width="19.140625" style="47" customWidth="1"/>
    <col min="8088" max="8088" width="18.5703125" style="47" customWidth="1"/>
    <col min="8089" max="8089" width="17.7109375" style="47" customWidth="1"/>
    <col min="8090" max="8090" width="20.140625" style="47" customWidth="1"/>
    <col min="8091" max="8091" width="12.140625" style="47" customWidth="1"/>
    <col min="8092" max="8101" width="9.140625" style="47" customWidth="1"/>
    <col min="8102" max="8102" width="14.5703125" style="47" customWidth="1"/>
    <col min="8103" max="8103" width="11.140625" style="47" customWidth="1"/>
    <col min="8104" max="8104" width="13.140625" style="47" customWidth="1"/>
    <col min="8105" max="8105" width="12.140625" style="47" customWidth="1"/>
    <col min="8106" max="8106" width="7.42578125" style="47" customWidth="1"/>
    <col min="8107" max="8107" width="13.28515625" style="47" customWidth="1"/>
    <col min="8108" max="8108" width="13.140625" style="47" customWidth="1"/>
    <col min="8109" max="8109" width="10.85546875" style="47" customWidth="1"/>
    <col min="8110" max="8110" width="14.28515625" style="47" customWidth="1"/>
    <col min="8111" max="8111" width="10.140625" style="47" customWidth="1"/>
    <col min="8112" max="8112" width="7.28515625" style="47" customWidth="1"/>
    <col min="8113" max="8113" width="11.85546875" style="47" customWidth="1"/>
    <col min="8114" max="8114" width="11.28515625" style="47" customWidth="1"/>
    <col min="8115" max="8115" width="8.85546875" style="47" customWidth="1"/>
    <col min="8116" max="8116" width="12.7109375" style="47" customWidth="1"/>
    <col min="8117" max="8119" width="9.140625" style="47" customWidth="1"/>
    <col min="8120" max="8120" width="11.42578125" style="47" customWidth="1"/>
    <col min="8121" max="8121" width="8.140625" style="47" customWidth="1"/>
    <col min="8122" max="8122" width="13.85546875" style="47" customWidth="1"/>
    <col min="8123" max="8123" width="13" style="47" customWidth="1"/>
    <col min="8124" max="8127" width="15" style="47" customWidth="1"/>
    <col min="8128" max="8128" width="14.85546875" style="47" customWidth="1"/>
    <col min="8129" max="8129" width="15.85546875" style="47" customWidth="1"/>
    <col min="8130" max="8130" width="15.7109375" style="47" customWidth="1"/>
    <col min="8131" max="8141" width="14.42578125" style="47" customWidth="1"/>
    <col min="8142" max="8145" width="15.5703125" style="47" customWidth="1"/>
    <col min="8146" max="8151" width="14.42578125" style="47" customWidth="1"/>
    <col min="8152" max="8152" width="10.140625" style="47" customWidth="1"/>
    <col min="8153" max="8153" width="16" style="47" customWidth="1"/>
    <col min="8154" max="8154" width="12.28515625" style="47" customWidth="1"/>
    <col min="8155" max="8155" width="12.5703125" style="47" customWidth="1"/>
    <col min="8156" max="8156" width="11" style="47" customWidth="1"/>
    <col min="8157" max="8158" width="13.42578125" style="47" customWidth="1"/>
    <col min="8159" max="8159" width="11.5703125" style="47" customWidth="1"/>
    <col min="8160" max="8160" width="14.140625" style="47" customWidth="1"/>
    <col min="8161" max="8161" width="7.42578125" style="47" customWidth="1"/>
    <col min="8162" max="8163" width="11.5703125" style="47" customWidth="1"/>
    <col min="8164" max="8164" width="9.5703125" style="47" customWidth="1"/>
    <col min="8165" max="8165" width="15.5703125" style="47" customWidth="1"/>
    <col min="8166" max="8166" width="14.28515625" style="47" customWidth="1"/>
    <col min="8167" max="8167" width="13.140625" style="47" customWidth="1"/>
    <col min="8168" max="8341" width="9.140625" style="47"/>
    <col min="8342" max="8342" width="35.5703125" style="47" customWidth="1"/>
    <col min="8343" max="8343" width="19.140625" style="47" customWidth="1"/>
    <col min="8344" max="8344" width="18.5703125" style="47" customWidth="1"/>
    <col min="8345" max="8345" width="17.7109375" style="47" customWidth="1"/>
    <col min="8346" max="8346" width="20.140625" style="47" customWidth="1"/>
    <col min="8347" max="8347" width="12.140625" style="47" customWidth="1"/>
    <col min="8348" max="8357" width="9.140625" style="47" customWidth="1"/>
    <col min="8358" max="8358" width="14.5703125" style="47" customWidth="1"/>
    <col min="8359" max="8359" width="11.140625" style="47" customWidth="1"/>
    <col min="8360" max="8360" width="13.140625" style="47" customWidth="1"/>
    <col min="8361" max="8361" width="12.140625" style="47" customWidth="1"/>
    <col min="8362" max="8362" width="7.42578125" style="47" customWidth="1"/>
    <col min="8363" max="8363" width="13.28515625" style="47" customWidth="1"/>
    <col min="8364" max="8364" width="13.140625" style="47" customWidth="1"/>
    <col min="8365" max="8365" width="10.85546875" style="47" customWidth="1"/>
    <col min="8366" max="8366" width="14.28515625" style="47" customWidth="1"/>
    <col min="8367" max="8367" width="10.140625" style="47" customWidth="1"/>
    <col min="8368" max="8368" width="7.28515625" style="47" customWidth="1"/>
    <col min="8369" max="8369" width="11.85546875" style="47" customWidth="1"/>
    <col min="8370" max="8370" width="11.28515625" style="47" customWidth="1"/>
    <col min="8371" max="8371" width="8.85546875" style="47" customWidth="1"/>
    <col min="8372" max="8372" width="12.7109375" style="47" customWidth="1"/>
    <col min="8373" max="8375" width="9.140625" style="47" customWidth="1"/>
    <col min="8376" max="8376" width="11.42578125" style="47" customWidth="1"/>
    <col min="8377" max="8377" width="8.140625" style="47" customWidth="1"/>
    <col min="8378" max="8378" width="13.85546875" style="47" customWidth="1"/>
    <col min="8379" max="8379" width="13" style="47" customWidth="1"/>
    <col min="8380" max="8383" width="15" style="47" customWidth="1"/>
    <col min="8384" max="8384" width="14.85546875" style="47" customWidth="1"/>
    <col min="8385" max="8385" width="15.85546875" style="47" customWidth="1"/>
    <col min="8386" max="8386" width="15.7109375" style="47" customWidth="1"/>
    <col min="8387" max="8397" width="14.42578125" style="47" customWidth="1"/>
    <col min="8398" max="8401" width="15.5703125" style="47" customWidth="1"/>
    <col min="8402" max="8407" width="14.42578125" style="47" customWidth="1"/>
    <col min="8408" max="8408" width="10.140625" style="47" customWidth="1"/>
    <col min="8409" max="8409" width="16" style="47" customWidth="1"/>
    <col min="8410" max="8410" width="12.28515625" style="47" customWidth="1"/>
    <col min="8411" max="8411" width="12.5703125" style="47" customWidth="1"/>
    <col min="8412" max="8412" width="11" style="47" customWidth="1"/>
    <col min="8413" max="8414" width="13.42578125" style="47" customWidth="1"/>
    <col min="8415" max="8415" width="11.5703125" style="47" customWidth="1"/>
    <col min="8416" max="8416" width="14.140625" style="47" customWidth="1"/>
    <col min="8417" max="8417" width="7.42578125" style="47" customWidth="1"/>
    <col min="8418" max="8419" width="11.5703125" style="47" customWidth="1"/>
    <col min="8420" max="8420" width="9.5703125" style="47" customWidth="1"/>
    <col min="8421" max="8421" width="15.5703125" style="47" customWidth="1"/>
    <col min="8422" max="8422" width="14.28515625" style="47" customWidth="1"/>
    <col min="8423" max="8423" width="13.140625" style="47" customWidth="1"/>
    <col min="8424" max="8597" width="9.140625" style="47"/>
    <col min="8598" max="8598" width="35.5703125" style="47" customWidth="1"/>
    <col min="8599" max="8599" width="19.140625" style="47" customWidth="1"/>
    <col min="8600" max="8600" width="18.5703125" style="47" customWidth="1"/>
    <col min="8601" max="8601" width="17.7109375" style="47" customWidth="1"/>
    <col min="8602" max="8602" width="20.140625" style="47" customWidth="1"/>
    <col min="8603" max="8603" width="12.140625" style="47" customWidth="1"/>
    <col min="8604" max="8613" width="9.140625" style="47" customWidth="1"/>
    <col min="8614" max="8614" width="14.5703125" style="47" customWidth="1"/>
    <col min="8615" max="8615" width="11.140625" style="47" customWidth="1"/>
    <col min="8616" max="8616" width="13.140625" style="47" customWidth="1"/>
    <col min="8617" max="8617" width="12.140625" style="47" customWidth="1"/>
    <col min="8618" max="8618" width="7.42578125" style="47" customWidth="1"/>
    <col min="8619" max="8619" width="13.28515625" style="47" customWidth="1"/>
    <col min="8620" max="8620" width="13.140625" style="47" customWidth="1"/>
    <col min="8621" max="8621" width="10.85546875" style="47" customWidth="1"/>
    <col min="8622" max="8622" width="14.28515625" style="47" customWidth="1"/>
    <col min="8623" max="8623" width="10.140625" style="47" customWidth="1"/>
    <col min="8624" max="8624" width="7.28515625" style="47" customWidth="1"/>
    <col min="8625" max="8625" width="11.85546875" style="47" customWidth="1"/>
    <col min="8626" max="8626" width="11.28515625" style="47" customWidth="1"/>
    <col min="8627" max="8627" width="8.85546875" style="47" customWidth="1"/>
    <col min="8628" max="8628" width="12.7109375" style="47" customWidth="1"/>
    <col min="8629" max="8631" width="9.140625" style="47" customWidth="1"/>
    <col min="8632" max="8632" width="11.42578125" style="47" customWidth="1"/>
    <col min="8633" max="8633" width="8.140625" style="47" customWidth="1"/>
    <col min="8634" max="8634" width="13.85546875" style="47" customWidth="1"/>
    <col min="8635" max="8635" width="13" style="47" customWidth="1"/>
    <col min="8636" max="8639" width="15" style="47" customWidth="1"/>
    <col min="8640" max="8640" width="14.85546875" style="47" customWidth="1"/>
    <col min="8641" max="8641" width="15.85546875" style="47" customWidth="1"/>
    <col min="8642" max="8642" width="15.7109375" style="47" customWidth="1"/>
    <col min="8643" max="8653" width="14.42578125" style="47" customWidth="1"/>
    <col min="8654" max="8657" width="15.5703125" style="47" customWidth="1"/>
    <col min="8658" max="8663" width="14.42578125" style="47" customWidth="1"/>
    <col min="8664" max="8664" width="10.140625" style="47" customWidth="1"/>
    <col min="8665" max="8665" width="16" style="47" customWidth="1"/>
    <col min="8666" max="8666" width="12.28515625" style="47" customWidth="1"/>
    <col min="8667" max="8667" width="12.5703125" style="47" customWidth="1"/>
    <col min="8668" max="8668" width="11" style="47" customWidth="1"/>
    <col min="8669" max="8670" width="13.42578125" style="47" customWidth="1"/>
    <col min="8671" max="8671" width="11.5703125" style="47" customWidth="1"/>
    <col min="8672" max="8672" width="14.140625" style="47" customWidth="1"/>
    <col min="8673" max="8673" width="7.42578125" style="47" customWidth="1"/>
    <col min="8674" max="8675" width="11.5703125" style="47" customWidth="1"/>
    <col min="8676" max="8676" width="9.5703125" style="47" customWidth="1"/>
    <col min="8677" max="8677" width="15.5703125" style="47" customWidth="1"/>
    <col min="8678" max="8678" width="14.28515625" style="47" customWidth="1"/>
    <col min="8679" max="8679" width="13.140625" style="47" customWidth="1"/>
    <col min="8680" max="8853" width="9.140625" style="47"/>
    <col min="8854" max="8854" width="35.5703125" style="47" customWidth="1"/>
    <col min="8855" max="8855" width="19.140625" style="47" customWidth="1"/>
    <col min="8856" max="8856" width="18.5703125" style="47" customWidth="1"/>
    <col min="8857" max="8857" width="17.7109375" style="47" customWidth="1"/>
    <col min="8858" max="8858" width="20.140625" style="47" customWidth="1"/>
    <col min="8859" max="8859" width="12.140625" style="47" customWidth="1"/>
    <col min="8860" max="8869" width="9.140625" style="47" customWidth="1"/>
    <col min="8870" max="8870" width="14.5703125" style="47" customWidth="1"/>
    <col min="8871" max="8871" width="11.140625" style="47" customWidth="1"/>
    <col min="8872" max="8872" width="13.140625" style="47" customWidth="1"/>
    <col min="8873" max="8873" width="12.140625" style="47" customWidth="1"/>
    <col min="8874" max="8874" width="7.42578125" style="47" customWidth="1"/>
    <col min="8875" max="8875" width="13.28515625" style="47" customWidth="1"/>
    <col min="8876" max="8876" width="13.140625" style="47" customWidth="1"/>
    <col min="8877" max="8877" width="10.85546875" style="47" customWidth="1"/>
    <col min="8878" max="8878" width="14.28515625" style="47" customWidth="1"/>
    <col min="8879" max="8879" width="10.140625" style="47" customWidth="1"/>
    <col min="8880" max="8880" width="7.28515625" style="47" customWidth="1"/>
    <col min="8881" max="8881" width="11.85546875" style="47" customWidth="1"/>
    <col min="8882" max="8882" width="11.28515625" style="47" customWidth="1"/>
    <col min="8883" max="8883" width="8.85546875" style="47" customWidth="1"/>
    <col min="8884" max="8884" width="12.7109375" style="47" customWidth="1"/>
    <col min="8885" max="8887" width="9.140625" style="47" customWidth="1"/>
    <col min="8888" max="8888" width="11.42578125" style="47" customWidth="1"/>
    <col min="8889" max="8889" width="8.140625" style="47" customWidth="1"/>
    <col min="8890" max="8890" width="13.85546875" style="47" customWidth="1"/>
    <col min="8891" max="8891" width="13" style="47" customWidth="1"/>
    <col min="8892" max="8895" width="15" style="47" customWidth="1"/>
    <col min="8896" max="8896" width="14.85546875" style="47" customWidth="1"/>
    <col min="8897" max="8897" width="15.85546875" style="47" customWidth="1"/>
    <col min="8898" max="8898" width="15.7109375" style="47" customWidth="1"/>
    <col min="8899" max="8909" width="14.42578125" style="47" customWidth="1"/>
    <col min="8910" max="8913" width="15.5703125" style="47" customWidth="1"/>
    <col min="8914" max="8919" width="14.42578125" style="47" customWidth="1"/>
    <col min="8920" max="8920" width="10.140625" style="47" customWidth="1"/>
    <col min="8921" max="8921" width="16" style="47" customWidth="1"/>
    <col min="8922" max="8922" width="12.28515625" style="47" customWidth="1"/>
    <col min="8923" max="8923" width="12.5703125" style="47" customWidth="1"/>
    <col min="8924" max="8924" width="11" style="47" customWidth="1"/>
    <col min="8925" max="8926" width="13.42578125" style="47" customWidth="1"/>
    <col min="8927" max="8927" width="11.5703125" style="47" customWidth="1"/>
    <col min="8928" max="8928" width="14.140625" style="47" customWidth="1"/>
    <col min="8929" max="8929" width="7.42578125" style="47" customWidth="1"/>
    <col min="8930" max="8931" width="11.5703125" style="47" customWidth="1"/>
    <col min="8932" max="8932" width="9.5703125" style="47" customWidth="1"/>
    <col min="8933" max="8933" width="15.5703125" style="47" customWidth="1"/>
    <col min="8934" max="8934" width="14.28515625" style="47" customWidth="1"/>
    <col min="8935" max="8935" width="13.140625" style="47" customWidth="1"/>
    <col min="8936" max="9109" width="9.140625" style="47"/>
    <col min="9110" max="9110" width="35.5703125" style="47" customWidth="1"/>
    <col min="9111" max="9111" width="19.140625" style="47" customWidth="1"/>
    <col min="9112" max="9112" width="18.5703125" style="47" customWidth="1"/>
    <col min="9113" max="9113" width="17.7109375" style="47" customWidth="1"/>
    <col min="9114" max="9114" width="20.140625" style="47" customWidth="1"/>
    <col min="9115" max="9115" width="12.140625" style="47" customWidth="1"/>
    <col min="9116" max="9125" width="9.140625" style="47" customWidth="1"/>
    <col min="9126" max="9126" width="14.5703125" style="47" customWidth="1"/>
    <col min="9127" max="9127" width="11.140625" style="47" customWidth="1"/>
    <col min="9128" max="9128" width="13.140625" style="47" customWidth="1"/>
    <col min="9129" max="9129" width="12.140625" style="47" customWidth="1"/>
    <col min="9130" max="9130" width="7.42578125" style="47" customWidth="1"/>
    <col min="9131" max="9131" width="13.28515625" style="47" customWidth="1"/>
    <col min="9132" max="9132" width="13.140625" style="47" customWidth="1"/>
    <col min="9133" max="9133" width="10.85546875" style="47" customWidth="1"/>
    <col min="9134" max="9134" width="14.28515625" style="47" customWidth="1"/>
    <col min="9135" max="9135" width="10.140625" style="47" customWidth="1"/>
    <col min="9136" max="9136" width="7.28515625" style="47" customWidth="1"/>
    <col min="9137" max="9137" width="11.85546875" style="47" customWidth="1"/>
    <col min="9138" max="9138" width="11.28515625" style="47" customWidth="1"/>
    <col min="9139" max="9139" width="8.85546875" style="47" customWidth="1"/>
    <col min="9140" max="9140" width="12.7109375" style="47" customWidth="1"/>
    <col min="9141" max="9143" width="9.140625" style="47" customWidth="1"/>
    <col min="9144" max="9144" width="11.42578125" style="47" customWidth="1"/>
    <col min="9145" max="9145" width="8.140625" style="47" customWidth="1"/>
    <col min="9146" max="9146" width="13.85546875" style="47" customWidth="1"/>
    <col min="9147" max="9147" width="13" style="47" customWidth="1"/>
    <col min="9148" max="9151" width="15" style="47" customWidth="1"/>
    <col min="9152" max="9152" width="14.85546875" style="47" customWidth="1"/>
    <col min="9153" max="9153" width="15.85546875" style="47" customWidth="1"/>
    <col min="9154" max="9154" width="15.7109375" style="47" customWidth="1"/>
    <col min="9155" max="9165" width="14.42578125" style="47" customWidth="1"/>
    <col min="9166" max="9169" width="15.5703125" style="47" customWidth="1"/>
    <col min="9170" max="9175" width="14.42578125" style="47" customWidth="1"/>
    <col min="9176" max="9176" width="10.140625" style="47" customWidth="1"/>
    <col min="9177" max="9177" width="16" style="47" customWidth="1"/>
    <col min="9178" max="9178" width="12.28515625" style="47" customWidth="1"/>
    <col min="9179" max="9179" width="12.5703125" style="47" customWidth="1"/>
    <col min="9180" max="9180" width="11" style="47" customWidth="1"/>
    <col min="9181" max="9182" width="13.42578125" style="47" customWidth="1"/>
    <col min="9183" max="9183" width="11.5703125" style="47" customWidth="1"/>
    <col min="9184" max="9184" width="14.140625" style="47" customWidth="1"/>
    <col min="9185" max="9185" width="7.42578125" style="47" customWidth="1"/>
    <col min="9186" max="9187" width="11.5703125" style="47" customWidth="1"/>
    <col min="9188" max="9188" width="9.5703125" style="47" customWidth="1"/>
    <col min="9189" max="9189" width="15.5703125" style="47" customWidth="1"/>
    <col min="9190" max="9190" width="14.28515625" style="47" customWidth="1"/>
    <col min="9191" max="9191" width="13.140625" style="47" customWidth="1"/>
    <col min="9192" max="9365" width="9.140625" style="47"/>
    <col min="9366" max="9366" width="35.5703125" style="47" customWidth="1"/>
    <col min="9367" max="9367" width="19.140625" style="47" customWidth="1"/>
    <col min="9368" max="9368" width="18.5703125" style="47" customWidth="1"/>
    <col min="9369" max="9369" width="17.7109375" style="47" customWidth="1"/>
    <col min="9370" max="9370" width="20.140625" style="47" customWidth="1"/>
    <col min="9371" max="9371" width="12.140625" style="47" customWidth="1"/>
    <col min="9372" max="9381" width="9.140625" style="47" customWidth="1"/>
    <col min="9382" max="9382" width="14.5703125" style="47" customWidth="1"/>
    <col min="9383" max="9383" width="11.140625" style="47" customWidth="1"/>
    <col min="9384" max="9384" width="13.140625" style="47" customWidth="1"/>
    <col min="9385" max="9385" width="12.140625" style="47" customWidth="1"/>
    <col min="9386" max="9386" width="7.42578125" style="47" customWidth="1"/>
    <col min="9387" max="9387" width="13.28515625" style="47" customWidth="1"/>
    <col min="9388" max="9388" width="13.140625" style="47" customWidth="1"/>
    <col min="9389" max="9389" width="10.85546875" style="47" customWidth="1"/>
    <col min="9390" max="9390" width="14.28515625" style="47" customWidth="1"/>
    <col min="9391" max="9391" width="10.140625" style="47" customWidth="1"/>
    <col min="9392" max="9392" width="7.28515625" style="47" customWidth="1"/>
    <col min="9393" max="9393" width="11.85546875" style="47" customWidth="1"/>
    <col min="9394" max="9394" width="11.28515625" style="47" customWidth="1"/>
    <col min="9395" max="9395" width="8.85546875" style="47" customWidth="1"/>
    <col min="9396" max="9396" width="12.7109375" style="47" customWidth="1"/>
    <col min="9397" max="9399" width="9.140625" style="47" customWidth="1"/>
    <col min="9400" max="9400" width="11.42578125" style="47" customWidth="1"/>
    <col min="9401" max="9401" width="8.140625" style="47" customWidth="1"/>
    <col min="9402" max="9402" width="13.85546875" style="47" customWidth="1"/>
    <col min="9403" max="9403" width="13" style="47" customWidth="1"/>
    <col min="9404" max="9407" width="15" style="47" customWidth="1"/>
    <col min="9408" max="9408" width="14.85546875" style="47" customWidth="1"/>
    <col min="9409" max="9409" width="15.85546875" style="47" customWidth="1"/>
    <col min="9410" max="9410" width="15.7109375" style="47" customWidth="1"/>
    <col min="9411" max="9421" width="14.42578125" style="47" customWidth="1"/>
    <col min="9422" max="9425" width="15.5703125" style="47" customWidth="1"/>
    <col min="9426" max="9431" width="14.42578125" style="47" customWidth="1"/>
    <col min="9432" max="9432" width="10.140625" style="47" customWidth="1"/>
    <col min="9433" max="9433" width="16" style="47" customWidth="1"/>
    <col min="9434" max="9434" width="12.28515625" style="47" customWidth="1"/>
    <col min="9435" max="9435" width="12.5703125" style="47" customWidth="1"/>
    <col min="9436" max="9436" width="11" style="47" customWidth="1"/>
    <col min="9437" max="9438" width="13.42578125" style="47" customWidth="1"/>
    <col min="9439" max="9439" width="11.5703125" style="47" customWidth="1"/>
    <col min="9440" max="9440" width="14.140625" style="47" customWidth="1"/>
    <col min="9441" max="9441" width="7.42578125" style="47" customWidth="1"/>
    <col min="9442" max="9443" width="11.5703125" style="47" customWidth="1"/>
    <col min="9444" max="9444" width="9.5703125" style="47" customWidth="1"/>
    <col min="9445" max="9445" width="15.5703125" style="47" customWidth="1"/>
    <col min="9446" max="9446" width="14.28515625" style="47" customWidth="1"/>
    <col min="9447" max="9447" width="13.140625" style="47" customWidth="1"/>
    <col min="9448" max="9621" width="9.140625" style="47"/>
    <col min="9622" max="9622" width="35.5703125" style="47" customWidth="1"/>
    <col min="9623" max="9623" width="19.140625" style="47" customWidth="1"/>
    <col min="9624" max="9624" width="18.5703125" style="47" customWidth="1"/>
    <col min="9625" max="9625" width="17.7109375" style="47" customWidth="1"/>
    <col min="9626" max="9626" width="20.140625" style="47" customWidth="1"/>
    <col min="9627" max="9627" width="12.140625" style="47" customWidth="1"/>
    <col min="9628" max="9637" width="9.140625" style="47" customWidth="1"/>
    <col min="9638" max="9638" width="14.5703125" style="47" customWidth="1"/>
    <col min="9639" max="9639" width="11.140625" style="47" customWidth="1"/>
    <col min="9640" max="9640" width="13.140625" style="47" customWidth="1"/>
    <col min="9641" max="9641" width="12.140625" style="47" customWidth="1"/>
    <col min="9642" max="9642" width="7.42578125" style="47" customWidth="1"/>
    <col min="9643" max="9643" width="13.28515625" style="47" customWidth="1"/>
    <col min="9644" max="9644" width="13.140625" style="47" customWidth="1"/>
    <col min="9645" max="9645" width="10.85546875" style="47" customWidth="1"/>
    <col min="9646" max="9646" width="14.28515625" style="47" customWidth="1"/>
    <col min="9647" max="9647" width="10.140625" style="47" customWidth="1"/>
    <col min="9648" max="9648" width="7.28515625" style="47" customWidth="1"/>
    <col min="9649" max="9649" width="11.85546875" style="47" customWidth="1"/>
    <col min="9650" max="9650" width="11.28515625" style="47" customWidth="1"/>
    <col min="9651" max="9651" width="8.85546875" style="47" customWidth="1"/>
    <col min="9652" max="9652" width="12.7109375" style="47" customWidth="1"/>
    <col min="9653" max="9655" width="9.140625" style="47" customWidth="1"/>
    <col min="9656" max="9656" width="11.42578125" style="47" customWidth="1"/>
    <col min="9657" max="9657" width="8.140625" style="47" customWidth="1"/>
    <col min="9658" max="9658" width="13.85546875" style="47" customWidth="1"/>
    <col min="9659" max="9659" width="13" style="47" customWidth="1"/>
    <col min="9660" max="9663" width="15" style="47" customWidth="1"/>
    <col min="9664" max="9664" width="14.85546875" style="47" customWidth="1"/>
    <col min="9665" max="9665" width="15.85546875" style="47" customWidth="1"/>
    <col min="9666" max="9666" width="15.7109375" style="47" customWidth="1"/>
    <col min="9667" max="9677" width="14.42578125" style="47" customWidth="1"/>
    <col min="9678" max="9681" width="15.5703125" style="47" customWidth="1"/>
    <col min="9682" max="9687" width="14.42578125" style="47" customWidth="1"/>
    <col min="9688" max="9688" width="10.140625" style="47" customWidth="1"/>
    <col min="9689" max="9689" width="16" style="47" customWidth="1"/>
    <col min="9690" max="9690" width="12.28515625" style="47" customWidth="1"/>
    <col min="9691" max="9691" width="12.5703125" style="47" customWidth="1"/>
    <col min="9692" max="9692" width="11" style="47" customWidth="1"/>
    <col min="9693" max="9694" width="13.42578125" style="47" customWidth="1"/>
    <col min="9695" max="9695" width="11.5703125" style="47" customWidth="1"/>
    <col min="9696" max="9696" width="14.140625" style="47" customWidth="1"/>
    <col min="9697" max="9697" width="7.42578125" style="47" customWidth="1"/>
    <col min="9698" max="9699" width="11.5703125" style="47" customWidth="1"/>
    <col min="9700" max="9700" width="9.5703125" style="47" customWidth="1"/>
    <col min="9701" max="9701" width="15.5703125" style="47" customWidth="1"/>
    <col min="9702" max="9702" width="14.28515625" style="47" customWidth="1"/>
    <col min="9703" max="9703" width="13.140625" style="47" customWidth="1"/>
    <col min="9704" max="9877" width="9.140625" style="47"/>
    <col min="9878" max="9878" width="35.5703125" style="47" customWidth="1"/>
    <col min="9879" max="9879" width="19.140625" style="47" customWidth="1"/>
    <col min="9880" max="9880" width="18.5703125" style="47" customWidth="1"/>
    <col min="9881" max="9881" width="17.7109375" style="47" customWidth="1"/>
    <col min="9882" max="9882" width="20.140625" style="47" customWidth="1"/>
    <col min="9883" max="9883" width="12.140625" style="47" customWidth="1"/>
    <col min="9884" max="9893" width="9.140625" style="47" customWidth="1"/>
    <col min="9894" max="9894" width="14.5703125" style="47" customWidth="1"/>
    <col min="9895" max="9895" width="11.140625" style="47" customWidth="1"/>
    <col min="9896" max="9896" width="13.140625" style="47" customWidth="1"/>
    <col min="9897" max="9897" width="12.140625" style="47" customWidth="1"/>
    <col min="9898" max="9898" width="7.42578125" style="47" customWidth="1"/>
    <col min="9899" max="9899" width="13.28515625" style="47" customWidth="1"/>
    <col min="9900" max="9900" width="13.140625" style="47" customWidth="1"/>
    <col min="9901" max="9901" width="10.85546875" style="47" customWidth="1"/>
    <col min="9902" max="9902" width="14.28515625" style="47" customWidth="1"/>
    <col min="9903" max="9903" width="10.140625" style="47" customWidth="1"/>
    <col min="9904" max="9904" width="7.28515625" style="47" customWidth="1"/>
    <col min="9905" max="9905" width="11.85546875" style="47" customWidth="1"/>
    <col min="9906" max="9906" width="11.28515625" style="47" customWidth="1"/>
    <col min="9907" max="9907" width="8.85546875" style="47" customWidth="1"/>
    <col min="9908" max="9908" width="12.7109375" style="47" customWidth="1"/>
    <col min="9909" max="9911" width="9.140625" style="47" customWidth="1"/>
    <col min="9912" max="9912" width="11.42578125" style="47" customWidth="1"/>
    <col min="9913" max="9913" width="8.140625" style="47" customWidth="1"/>
    <col min="9914" max="9914" width="13.85546875" style="47" customWidth="1"/>
    <col min="9915" max="9915" width="13" style="47" customWidth="1"/>
    <col min="9916" max="9919" width="15" style="47" customWidth="1"/>
    <col min="9920" max="9920" width="14.85546875" style="47" customWidth="1"/>
    <col min="9921" max="9921" width="15.85546875" style="47" customWidth="1"/>
    <col min="9922" max="9922" width="15.7109375" style="47" customWidth="1"/>
    <col min="9923" max="9933" width="14.42578125" style="47" customWidth="1"/>
    <col min="9934" max="9937" width="15.5703125" style="47" customWidth="1"/>
    <col min="9938" max="9943" width="14.42578125" style="47" customWidth="1"/>
    <col min="9944" max="9944" width="10.140625" style="47" customWidth="1"/>
    <col min="9945" max="9945" width="16" style="47" customWidth="1"/>
    <col min="9946" max="9946" width="12.28515625" style="47" customWidth="1"/>
    <col min="9947" max="9947" width="12.5703125" style="47" customWidth="1"/>
    <col min="9948" max="9948" width="11" style="47" customWidth="1"/>
    <col min="9949" max="9950" width="13.42578125" style="47" customWidth="1"/>
    <col min="9951" max="9951" width="11.5703125" style="47" customWidth="1"/>
    <col min="9952" max="9952" width="14.140625" style="47" customWidth="1"/>
    <col min="9953" max="9953" width="7.42578125" style="47" customWidth="1"/>
    <col min="9954" max="9955" width="11.5703125" style="47" customWidth="1"/>
    <col min="9956" max="9956" width="9.5703125" style="47" customWidth="1"/>
    <col min="9957" max="9957" width="15.5703125" style="47" customWidth="1"/>
    <col min="9958" max="9958" width="14.28515625" style="47" customWidth="1"/>
    <col min="9959" max="9959" width="13.140625" style="47" customWidth="1"/>
    <col min="9960" max="10133" width="9.140625" style="47"/>
    <col min="10134" max="10134" width="35.5703125" style="47" customWidth="1"/>
    <col min="10135" max="10135" width="19.140625" style="47" customWidth="1"/>
    <col min="10136" max="10136" width="18.5703125" style="47" customWidth="1"/>
    <col min="10137" max="10137" width="17.7109375" style="47" customWidth="1"/>
    <col min="10138" max="10138" width="20.140625" style="47" customWidth="1"/>
    <col min="10139" max="10139" width="12.140625" style="47" customWidth="1"/>
    <col min="10140" max="10149" width="9.140625" style="47" customWidth="1"/>
    <col min="10150" max="10150" width="14.5703125" style="47" customWidth="1"/>
    <col min="10151" max="10151" width="11.140625" style="47" customWidth="1"/>
    <col min="10152" max="10152" width="13.140625" style="47" customWidth="1"/>
    <col min="10153" max="10153" width="12.140625" style="47" customWidth="1"/>
    <col min="10154" max="10154" width="7.42578125" style="47" customWidth="1"/>
    <col min="10155" max="10155" width="13.28515625" style="47" customWidth="1"/>
    <col min="10156" max="10156" width="13.140625" style="47" customWidth="1"/>
    <col min="10157" max="10157" width="10.85546875" style="47" customWidth="1"/>
    <col min="10158" max="10158" width="14.28515625" style="47" customWidth="1"/>
    <col min="10159" max="10159" width="10.140625" style="47" customWidth="1"/>
    <col min="10160" max="10160" width="7.28515625" style="47" customWidth="1"/>
    <col min="10161" max="10161" width="11.85546875" style="47" customWidth="1"/>
    <col min="10162" max="10162" width="11.28515625" style="47" customWidth="1"/>
    <col min="10163" max="10163" width="8.85546875" style="47" customWidth="1"/>
    <col min="10164" max="10164" width="12.7109375" style="47" customWidth="1"/>
    <col min="10165" max="10167" width="9.140625" style="47" customWidth="1"/>
    <col min="10168" max="10168" width="11.42578125" style="47" customWidth="1"/>
    <col min="10169" max="10169" width="8.140625" style="47" customWidth="1"/>
    <col min="10170" max="10170" width="13.85546875" style="47" customWidth="1"/>
    <col min="10171" max="10171" width="13" style="47" customWidth="1"/>
    <col min="10172" max="10175" width="15" style="47" customWidth="1"/>
    <col min="10176" max="10176" width="14.85546875" style="47" customWidth="1"/>
    <col min="10177" max="10177" width="15.85546875" style="47" customWidth="1"/>
    <col min="10178" max="10178" width="15.7109375" style="47" customWidth="1"/>
    <col min="10179" max="10189" width="14.42578125" style="47" customWidth="1"/>
    <col min="10190" max="10193" width="15.5703125" style="47" customWidth="1"/>
    <col min="10194" max="10199" width="14.42578125" style="47" customWidth="1"/>
    <col min="10200" max="10200" width="10.140625" style="47" customWidth="1"/>
    <col min="10201" max="10201" width="16" style="47" customWidth="1"/>
    <col min="10202" max="10202" width="12.28515625" style="47" customWidth="1"/>
    <col min="10203" max="10203" width="12.5703125" style="47" customWidth="1"/>
    <col min="10204" max="10204" width="11" style="47" customWidth="1"/>
    <col min="10205" max="10206" width="13.42578125" style="47" customWidth="1"/>
    <col min="10207" max="10207" width="11.5703125" style="47" customWidth="1"/>
    <col min="10208" max="10208" width="14.140625" style="47" customWidth="1"/>
    <col min="10209" max="10209" width="7.42578125" style="47" customWidth="1"/>
    <col min="10210" max="10211" width="11.5703125" style="47" customWidth="1"/>
    <col min="10212" max="10212" width="9.5703125" style="47" customWidth="1"/>
    <col min="10213" max="10213" width="15.5703125" style="47" customWidth="1"/>
    <col min="10214" max="10214" width="14.28515625" style="47" customWidth="1"/>
    <col min="10215" max="10215" width="13.140625" style="47" customWidth="1"/>
    <col min="10216" max="10389" width="9.140625" style="47"/>
    <col min="10390" max="10390" width="35.5703125" style="47" customWidth="1"/>
    <col min="10391" max="10391" width="19.140625" style="47" customWidth="1"/>
    <col min="10392" max="10392" width="18.5703125" style="47" customWidth="1"/>
    <col min="10393" max="10393" width="17.7109375" style="47" customWidth="1"/>
    <col min="10394" max="10394" width="20.140625" style="47" customWidth="1"/>
    <col min="10395" max="10395" width="12.140625" style="47" customWidth="1"/>
    <col min="10396" max="10405" width="9.140625" style="47" customWidth="1"/>
    <col min="10406" max="10406" width="14.5703125" style="47" customWidth="1"/>
    <col min="10407" max="10407" width="11.140625" style="47" customWidth="1"/>
    <col min="10408" max="10408" width="13.140625" style="47" customWidth="1"/>
    <col min="10409" max="10409" width="12.140625" style="47" customWidth="1"/>
    <col min="10410" max="10410" width="7.42578125" style="47" customWidth="1"/>
    <col min="10411" max="10411" width="13.28515625" style="47" customWidth="1"/>
    <col min="10412" max="10412" width="13.140625" style="47" customWidth="1"/>
    <col min="10413" max="10413" width="10.85546875" style="47" customWidth="1"/>
    <col min="10414" max="10414" width="14.28515625" style="47" customWidth="1"/>
    <col min="10415" max="10415" width="10.140625" style="47" customWidth="1"/>
    <col min="10416" max="10416" width="7.28515625" style="47" customWidth="1"/>
    <col min="10417" max="10417" width="11.85546875" style="47" customWidth="1"/>
    <col min="10418" max="10418" width="11.28515625" style="47" customWidth="1"/>
    <col min="10419" max="10419" width="8.85546875" style="47" customWidth="1"/>
    <col min="10420" max="10420" width="12.7109375" style="47" customWidth="1"/>
    <col min="10421" max="10423" width="9.140625" style="47" customWidth="1"/>
    <col min="10424" max="10424" width="11.42578125" style="47" customWidth="1"/>
    <col min="10425" max="10425" width="8.140625" style="47" customWidth="1"/>
    <col min="10426" max="10426" width="13.85546875" style="47" customWidth="1"/>
    <col min="10427" max="10427" width="13" style="47" customWidth="1"/>
    <col min="10428" max="10431" width="15" style="47" customWidth="1"/>
    <col min="10432" max="10432" width="14.85546875" style="47" customWidth="1"/>
    <col min="10433" max="10433" width="15.85546875" style="47" customWidth="1"/>
    <col min="10434" max="10434" width="15.7109375" style="47" customWidth="1"/>
    <col min="10435" max="10445" width="14.42578125" style="47" customWidth="1"/>
    <col min="10446" max="10449" width="15.5703125" style="47" customWidth="1"/>
    <col min="10450" max="10455" width="14.42578125" style="47" customWidth="1"/>
    <col min="10456" max="10456" width="10.140625" style="47" customWidth="1"/>
    <col min="10457" max="10457" width="16" style="47" customWidth="1"/>
    <col min="10458" max="10458" width="12.28515625" style="47" customWidth="1"/>
    <col min="10459" max="10459" width="12.5703125" style="47" customWidth="1"/>
    <col min="10460" max="10460" width="11" style="47" customWidth="1"/>
    <col min="10461" max="10462" width="13.42578125" style="47" customWidth="1"/>
    <col min="10463" max="10463" width="11.5703125" style="47" customWidth="1"/>
    <col min="10464" max="10464" width="14.140625" style="47" customWidth="1"/>
    <col min="10465" max="10465" width="7.42578125" style="47" customWidth="1"/>
    <col min="10466" max="10467" width="11.5703125" style="47" customWidth="1"/>
    <col min="10468" max="10468" width="9.5703125" style="47" customWidth="1"/>
    <col min="10469" max="10469" width="15.5703125" style="47" customWidth="1"/>
    <col min="10470" max="10470" width="14.28515625" style="47" customWidth="1"/>
    <col min="10471" max="10471" width="13.140625" style="47" customWidth="1"/>
    <col min="10472" max="10645" width="9.140625" style="47"/>
    <col min="10646" max="10646" width="35.5703125" style="47" customWidth="1"/>
    <col min="10647" max="10647" width="19.140625" style="47" customWidth="1"/>
    <col min="10648" max="10648" width="18.5703125" style="47" customWidth="1"/>
    <col min="10649" max="10649" width="17.7109375" style="47" customWidth="1"/>
    <col min="10650" max="10650" width="20.140625" style="47" customWidth="1"/>
    <col min="10651" max="10651" width="12.140625" style="47" customWidth="1"/>
    <col min="10652" max="10661" width="9.140625" style="47" customWidth="1"/>
    <col min="10662" max="10662" width="14.5703125" style="47" customWidth="1"/>
    <col min="10663" max="10663" width="11.140625" style="47" customWidth="1"/>
    <col min="10664" max="10664" width="13.140625" style="47" customWidth="1"/>
    <col min="10665" max="10665" width="12.140625" style="47" customWidth="1"/>
    <col min="10666" max="10666" width="7.42578125" style="47" customWidth="1"/>
    <col min="10667" max="10667" width="13.28515625" style="47" customWidth="1"/>
    <col min="10668" max="10668" width="13.140625" style="47" customWidth="1"/>
    <col min="10669" max="10669" width="10.85546875" style="47" customWidth="1"/>
    <col min="10670" max="10670" width="14.28515625" style="47" customWidth="1"/>
    <col min="10671" max="10671" width="10.140625" style="47" customWidth="1"/>
    <col min="10672" max="10672" width="7.28515625" style="47" customWidth="1"/>
    <col min="10673" max="10673" width="11.85546875" style="47" customWidth="1"/>
    <col min="10674" max="10674" width="11.28515625" style="47" customWidth="1"/>
    <col min="10675" max="10675" width="8.85546875" style="47" customWidth="1"/>
    <col min="10676" max="10676" width="12.7109375" style="47" customWidth="1"/>
    <col min="10677" max="10679" width="9.140625" style="47" customWidth="1"/>
    <col min="10680" max="10680" width="11.42578125" style="47" customWidth="1"/>
    <col min="10681" max="10681" width="8.140625" style="47" customWidth="1"/>
    <col min="10682" max="10682" width="13.85546875" style="47" customWidth="1"/>
    <col min="10683" max="10683" width="13" style="47" customWidth="1"/>
    <col min="10684" max="10687" width="15" style="47" customWidth="1"/>
    <col min="10688" max="10688" width="14.85546875" style="47" customWidth="1"/>
    <col min="10689" max="10689" width="15.85546875" style="47" customWidth="1"/>
    <col min="10690" max="10690" width="15.7109375" style="47" customWidth="1"/>
    <col min="10691" max="10701" width="14.42578125" style="47" customWidth="1"/>
    <col min="10702" max="10705" width="15.5703125" style="47" customWidth="1"/>
    <col min="10706" max="10711" width="14.42578125" style="47" customWidth="1"/>
    <col min="10712" max="10712" width="10.140625" style="47" customWidth="1"/>
    <col min="10713" max="10713" width="16" style="47" customWidth="1"/>
    <col min="10714" max="10714" width="12.28515625" style="47" customWidth="1"/>
    <col min="10715" max="10715" width="12.5703125" style="47" customWidth="1"/>
    <col min="10716" max="10716" width="11" style="47" customWidth="1"/>
    <col min="10717" max="10718" width="13.42578125" style="47" customWidth="1"/>
    <col min="10719" max="10719" width="11.5703125" style="47" customWidth="1"/>
    <col min="10720" max="10720" width="14.140625" style="47" customWidth="1"/>
    <col min="10721" max="10721" width="7.42578125" style="47" customWidth="1"/>
    <col min="10722" max="10723" width="11.5703125" style="47" customWidth="1"/>
    <col min="10724" max="10724" width="9.5703125" style="47" customWidth="1"/>
    <col min="10725" max="10725" width="15.5703125" style="47" customWidth="1"/>
    <col min="10726" max="10726" width="14.28515625" style="47" customWidth="1"/>
    <col min="10727" max="10727" width="13.140625" style="47" customWidth="1"/>
    <col min="10728" max="10901" width="9.140625" style="47"/>
    <col min="10902" max="10902" width="35.5703125" style="47" customWidth="1"/>
    <col min="10903" max="10903" width="19.140625" style="47" customWidth="1"/>
    <col min="10904" max="10904" width="18.5703125" style="47" customWidth="1"/>
    <col min="10905" max="10905" width="17.7109375" style="47" customWidth="1"/>
    <col min="10906" max="10906" width="20.140625" style="47" customWidth="1"/>
    <col min="10907" max="10907" width="12.140625" style="47" customWidth="1"/>
    <col min="10908" max="10917" width="9.140625" style="47" customWidth="1"/>
    <col min="10918" max="10918" width="14.5703125" style="47" customWidth="1"/>
    <col min="10919" max="10919" width="11.140625" style="47" customWidth="1"/>
    <col min="10920" max="10920" width="13.140625" style="47" customWidth="1"/>
    <col min="10921" max="10921" width="12.140625" style="47" customWidth="1"/>
    <col min="10922" max="10922" width="7.42578125" style="47" customWidth="1"/>
    <col min="10923" max="10923" width="13.28515625" style="47" customWidth="1"/>
    <col min="10924" max="10924" width="13.140625" style="47" customWidth="1"/>
    <col min="10925" max="10925" width="10.85546875" style="47" customWidth="1"/>
    <col min="10926" max="10926" width="14.28515625" style="47" customWidth="1"/>
    <col min="10927" max="10927" width="10.140625" style="47" customWidth="1"/>
    <col min="10928" max="10928" width="7.28515625" style="47" customWidth="1"/>
    <col min="10929" max="10929" width="11.85546875" style="47" customWidth="1"/>
    <col min="10930" max="10930" width="11.28515625" style="47" customWidth="1"/>
    <col min="10931" max="10931" width="8.85546875" style="47" customWidth="1"/>
    <col min="10932" max="10932" width="12.7109375" style="47" customWidth="1"/>
    <col min="10933" max="10935" width="9.140625" style="47" customWidth="1"/>
    <col min="10936" max="10936" width="11.42578125" style="47" customWidth="1"/>
    <col min="10937" max="10937" width="8.140625" style="47" customWidth="1"/>
    <col min="10938" max="10938" width="13.85546875" style="47" customWidth="1"/>
    <col min="10939" max="10939" width="13" style="47" customWidth="1"/>
    <col min="10940" max="10943" width="15" style="47" customWidth="1"/>
    <col min="10944" max="10944" width="14.85546875" style="47" customWidth="1"/>
    <col min="10945" max="10945" width="15.85546875" style="47" customWidth="1"/>
    <col min="10946" max="10946" width="15.7109375" style="47" customWidth="1"/>
    <col min="10947" max="10957" width="14.42578125" style="47" customWidth="1"/>
    <col min="10958" max="10961" width="15.5703125" style="47" customWidth="1"/>
    <col min="10962" max="10967" width="14.42578125" style="47" customWidth="1"/>
    <col min="10968" max="10968" width="10.140625" style="47" customWidth="1"/>
    <col min="10969" max="10969" width="16" style="47" customWidth="1"/>
    <col min="10970" max="10970" width="12.28515625" style="47" customWidth="1"/>
    <col min="10971" max="10971" width="12.5703125" style="47" customWidth="1"/>
    <col min="10972" max="10972" width="11" style="47" customWidth="1"/>
    <col min="10973" max="10974" width="13.42578125" style="47" customWidth="1"/>
    <col min="10975" max="10975" width="11.5703125" style="47" customWidth="1"/>
    <col min="10976" max="10976" width="14.140625" style="47" customWidth="1"/>
    <col min="10977" max="10977" width="7.42578125" style="47" customWidth="1"/>
    <col min="10978" max="10979" width="11.5703125" style="47" customWidth="1"/>
    <col min="10980" max="10980" width="9.5703125" style="47" customWidth="1"/>
    <col min="10981" max="10981" width="15.5703125" style="47" customWidth="1"/>
    <col min="10982" max="10982" width="14.28515625" style="47" customWidth="1"/>
    <col min="10983" max="10983" width="13.140625" style="47" customWidth="1"/>
    <col min="10984" max="11157" width="9.140625" style="47"/>
    <col min="11158" max="11158" width="35.5703125" style="47" customWidth="1"/>
    <col min="11159" max="11159" width="19.140625" style="47" customWidth="1"/>
    <col min="11160" max="11160" width="18.5703125" style="47" customWidth="1"/>
    <col min="11161" max="11161" width="17.7109375" style="47" customWidth="1"/>
    <col min="11162" max="11162" width="20.140625" style="47" customWidth="1"/>
    <col min="11163" max="11163" width="12.140625" style="47" customWidth="1"/>
    <col min="11164" max="11173" width="9.140625" style="47" customWidth="1"/>
    <col min="11174" max="11174" width="14.5703125" style="47" customWidth="1"/>
    <col min="11175" max="11175" width="11.140625" style="47" customWidth="1"/>
    <col min="11176" max="11176" width="13.140625" style="47" customWidth="1"/>
    <col min="11177" max="11177" width="12.140625" style="47" customWidth="1"/>
    <col min="11178" max="11178" width="7.42578125" style="47" customWidth="1"/>
    <col min="11179" max="11179" width="13.28515625" style="47" customWidth="1"/>
    <col min="11180" max="11180" width="13.140625" style="47" customWidth="1"/>
    <col min="11181" max="11181" width="10.85546875" style="47" customWidth="1"/>
    <col min="11182" max="11182" width="14.28515625" style="47" customWidth="1"/>
    <col min="11183" max="11183" width="10.140625" style="47" customWidth="1"/>
    <col min="11184" max="11184" width="7.28515625" style="47" customWidth="1"/>
    <col min="11185" max="11185" width="11.85546875" style="47" customWidth="1"/>
    <col min="11186" max="11186" width="11.28515625" style="47" customWidth="1"/>
    <col min="11187" max="11187" width="8.85546875" style="47" customWidth="1"/>
    <col min="11188" max="11188" width="12.7109375" style="47" customWidth="1"/>
    <col min="11189" max="11191" width="9.140625" style="47" customWidth="1"/>
    <col min="11192" max="11192" width="11.42578125" style="47" customWidth="1"/>
    <col min="11193" max="11193" width="8.140625" style="47" customWidth="1"/>
    <col min="11194" max="11194" width="13.85546875" style="47" customWidth="1"/>
    <col min="11195" max="11195" width="13" style="47" customWidth="1"/>
    <col min="11196" max="11199" width="15" style="47" customWidth="1"/>
    <col min="11200" max="11200" width="14.85546875" style="47" customWidth="1"/>
    <col min="11201" max="11201" width="15.85546875" style="47" customWidth="1"/>
    <col min="11202" max="11202" width="15.7109375" style="47" customWidth="1"/>
    <col min="11203" max="11213" width="14.42578125" style="47" customWidth="1"/>
    <col min="11214" max="11217" width="15.5703125" style="47" customWidth="1"/>
    <col min="11218" max="11223" width="14.42578125" style="47" customWidth="1"/>
    <col min="11224" max="11224" width="10.140625" style="47" customWidth="1"/>
    <col min="11225" max="11225" width="16" style="47" customWidth="1"/>
    <col min="11226" max="11226" width="12.28515625" style="47" customWidth="1"/>
    <col min="11227" max="11227" width="12.5703125" style="47" customWidth="1"/>
    <col min="11228" max="11228" width="11" style="47" customWidth="1"/>
    <col min="11229" max="11230" width="13.42578125" style="47" customWidth="1"/>
    <col min="11231" max="11231" width="11.5703125" style="47" customWidth="1"/>
    <col min="11232" max="11232" width="14.140625" style="47" customWidth="1"/>
    <col min="11233" max="11233" width="7.42578125" style="47" customWidth="1"/>
    <col min="11234" max="11235" width="11.5703125" style="47" customWidth="1"/>
    <col min="11236" max="11236" width="9.5703125" style="47" customWidth="1"/>
    <col min="11237" max="11237" width="15.5703125" style="47" customWidth="1"/>
    <col min="11238" max="11238" width="14.28515625" style="47" customWidth="1"/>
    <col min="11239" max="11239" width="13.140625" style="47" customWidth="1"/>
    <col min="11240" max="11413" width="9.140625" style="47"/>
    <col min="11414" max="11414" width="35.5703125" style="47" customWidth="1"/>
    <col min="11415" max="11415" width="19.140625" style="47" customWidth="1"/>
    <col min="11416" max="11416" width="18.5703125" style="47" customWidth="1"/>
    <col min="11417" max="11417" width="17.7109375" style="47" customWidth="1"/>
    <col min="11418" max="11418" width="20.140625" style="47" customWidth="1"/>
    <col min="11419" max="11419" width="12.140625" style="47" customWidth="1"/>
    <col min="11420" max="11429" width="9.140625" style="47" customWidth="1"/>
    <col min="11430" max="11430" width="14.5703125" style="47" customWidth="1"/>
    <col min="11431" max="11431" width="11.140625" style="47" customWidth="1"/>
    <col min="11432" max="11432" width="13.140625" style="47" customWidth="1"/>
    <col min="11433" max="11433" width="12.140625" style="47" customWidth="1"/>
    <col min="11434" max="11434" width="7.42578125" style="47" customWidth="1"/>
    <col min="11435" max="11435" width="13.28515625" style="47" customWidth="1"/>
    <col min="11436" max="11436" width="13.140625" style="47" customWidth="1"/>
    <col min="11437" max="11437" width="10.85546875" style="47" customWidth="1"/>
    <col min="11438" max="11438" width="14.28515625" style="47" customWidth="1"/>
    <col min="11439" max="11439" width="10.140625" style="47" customWidth="1"/>
    <col min="11440" max="11440" width="7.28515625" style="47" customWidth="1"/>
    <col min="11441" max="11441" width="11.85546875" style="47" customWidth="1"/>
    <col min="11442" max="11442" width="11.28515625" style="47" customWidth="1"/>
    <col min="11443" max="11443" width="8.85546875" style="47" customWidth="1"/>
    <col min="11444" max="11444" width="12.7109375" style="47" customWidth="1"/>
    <col min="11445" max="11447" width="9.140625" style="47" customWidth="1"/>
    <col min="11448" max="11448" width="11.42578125" style="47" customWidth="1"/>
    <col min="11449" max="11449" width="8.140625" style="47" customWidth="1"/>
    <col min="11450" max="11450" width="13.85546875" style="47" customWidth="1"/>
    <col min="11451" max="11451" width="13" style="47" customWidth="1"/>
    <col min="11452" max="11455" width="15" style="47" customWidth="1"/>
    <col min="11456" max="11456" width="14.85546875" style="47" customWidth="1"/>
    <col min="11457" max="11457" width="15.85546875" style="47" customWidth="1"/>
    <col min="11458" max="11458" width="15.7109375" style="47" customWidth="1"/>
    <col min="11459" max="11469" width="14.42578125" style="47" customWidth="1"/>
    <col min="11470" max="11473" width="15.5703125" style="47" customWidth="1"/>
    <col min="11474" max="11479" width="14.42578125" style="47" customWidth="1"/>
    <col min="11480" max="11480" width="10.140625" style="47" customWidth="1"/>
    <col min="11481" max="11481" width="16" style="47" customWidth="1"/>
    <col min="11482" max="11482" width="12.28515625" style="47" customWidth="1"/>
    <col min="11483" max="11483" width="12.5703125" style="47" customWidth="1"/>
    <col min="11484" max="11484" width="11" style="47" customWidth="1"/>
    <col min="11485" max="11486" width="13.42578125" style="47" customWidth="1"/>
    <col min="11487" max="11487" width="11.5703125" style="47" customWidth="1"/>
    <col min="11488" max="11488" width="14.140625" style="47" customWidth="1"/>
    <col min="11489" max="11489" width="7.42578125" style="47" customWidth="1"/>
    <col min="11490" max="11491" width="11.5703125" style="47" customWidth="1"/>
    <col min="11492" max="11492" width="9.5703125" style="47" customWidth="1"/>
    <col min="11493" max="11493" width="15.5703125" style="47" customWidth="1"/>
    <col min="11494" max="11494" width="14.28515625" style="47" customWidth="1"/>
    <col min="11495" max="11495" width="13.140625" style="47" customWidth="1"/>
    <col min="11496" max="11669" width="9.140625" style="47"/>
    <col min="11670" max="11670" width="35.5703125" style="47" customWidth="1"/>
    <col min="11671" max="11671" width="19.140625" style="47" customWidth="1"/>
    <col min="11672" max="11672" width="18.5703125" style="47" customWidth="1"/>
    <col min="11673" max="11673" width="17.7109375" style="47" customWidth="1"/>
    <col min="11674" max="11674" width="20.140625" style="47" customWidth="1"/>
    <col min="11675" max="11675" width="12.140625" style="47" customWidth="1"/>
    <col min="11676" max="11685" width="9.140625" style="47" customWidth="1"/>
    <col min="11686" max="11686" width="14.5703125" style="47" customWidth="1"/>
    <col min="11687" max="11687" width="11.140625" style="47" customWidth="1"/>
    <col min="11688" max="11688" width="13.140625" style="47" customWidth="1"/>
    <col min="11689" max="11689" width="12.140625" style="47" customWidth="1"/>
    <col min="11690" max="11690" width="7.42578125" style="47" customWidth="1"/>
    <col min="11691" max="11691" width="13.28515625" style="47" customWidth="1"/>
    <col min="11692" max="11692" width="13.140625" style="47" customWidth="1"/>
    <col min="11693" max="11693" width="10.85546875" style="47" customWidth="1"/>
    <col min="11694" max="11694" width="14.28515625" style="47" customWidth="1"/>
    <col min="11695" max="11695" width="10.140625" style="47" customWidth="1"/>
    <col min="11696" max="11696" width="7.28515625" style="47" customWidth="1"/>
    <col min="11697" max="11697" width="11.85546875" style="47" customWidth="1"/>
    <col min="11698" max="11698" width="11.28515625" style="47" customWidth="1"/>
    <col min="11699" max="11699" width="8.85546875" style="47" customWidth="1"/>
    <col min="11700" max="11700" width="12.7109375" style="47" customWidth="1"/>
    <col min="11701" max="11703" width="9.140625" style="47" customWidth="1"/>
    <col min="11704" max="11704" width="11.42578125" style="47" customWidth="1"/>
    <col min="11705" max="11705" width="8.140625" style="47" customWidth="1"/>
    <col min="11706" max="11706" width="13.85546875" style="47" customWidth="1"/>
    <col min="11707" max="11707" width="13" style="47" customWidth="1"/>
    <col min="11708" max="11711" width="15" style="47" customWidth="1"/>
    <col min="11712" max="11712" width="14.85546875" style="47" customWidth="1"/>
    <col min="11713" max="11713" width="15.85546875" style="47" customWidth="1"/>
    <col min="11714" max="11714" width="15.7109375" style="47" customWidth="1"/>
    <col min="11715" max="11725" width="14.42578125" style="47" customWidth="1"/>
    <col min="11726" max="11729" width="15.5703125" style="47" customWidth="1"/>
    <col min="11730" max="11735" width="14.42578125" style="47" customWidth="1"/>
    <col min="11736" max="11736" width="10.140625" style="47" customWidth="1"/>
    <col min="11737" max="11737" width="16" style="47" customWidth="1"/>
    <col min="11738" max="11738" width="12.28515625" style="47" customWidth="1"/>
    <col min="11739" max="11739" width="12.5703125" style="47" customWidth="1"/>
    <col min="11740" max="11740" width="11" style="47" customWidth="1"/>
    <col min="11741" max="11742" width="13.42578125" style="47" customWidth="1"/>
    <col min="11743" max="11743" width="11.5703125" style="47" customWidth="1"/>
    <col min="11744" max="11744" width="14.140625" style="47" customWidth="1"/>
    <col min="11745" max="11745" width="7.42578125" style="47" customWidth="1"/>
    <col min="11746" max="11747" width="11.5703125" style="47" customWidth="1"/>
    <col min="11748" max="11748" width="9.5703125" style="47" customWidth="1"/>
    <col min="11749" max="11749" width="15.5703125" style="47" customWidth="1"/>
    <col min="11750" max="11750" width="14.28515625" style="47" customWidth="1"/>
    <col min="11751" max="11751" width="13.140625" style="47" customWidth="1"/>
    <col min="11752" max="11925" width="9.140625" style="47"/>
    <col min="11926" max="11926" width="35.5703125" style="47" customWidth="1"/>
    <col min="11927" max="11927" width="19.140625" style="47" customWidth="1"/>
    <col min="11928" max="11928" width="18.5703125" style="47" customWidth="1"/>
    <col min="11929" max="11929" width="17.7109375" style="47" customWidth="1"/>
    <col min="11930" max="11930" width="20.140625" style="47" customWidth="1"/>
    <col min="11931" max="11931" width="12.140625" style="47" customWidth="1"/>
    <col min="11932" max="11941" width="9.140625" style="47" customWidth="1"/>
    <col min="11942" max="11942" width="14.5703125" style="47" customWidth="1"/>
    <col min="11943" max="11943" width="11.140625" style="47" customWidth="1"/>
    <col min="11944" max="11944" width="13.140625" style="47" customWidth="1"/>
    <col min="11945" max="11945" width="12.140625" style="47" customWidth="1"/>
    <col min="11946" max="11946" width="7.42578125" style="47" customWidth="1"/>
    <col min="11947" max="11947" width="13.28515625" style="47" customWidth="1"/>
    <col min="11948" max="11948" width="13.140625" style="47" customWidth="1"/>
    <col min="11949" max="11949" width="10.85546875" style="47" customWidth="1"/>
    <col min="11950" max="11950" width="14.28515625" style="47" customWidth="1"/>
    <col min="11951" max="11951" width="10.140625" style="47" customWidth="1"/>
    <col min="11952" max="11952" width="7.28515625" style="47" customWidth="1"/>
    <col min="11953" max="11953" width="11.85546875" style="47" customWidth="1"/>
    <col min="11954" max="11954" width="11.28515625" style="47" customWidth="1"/>
    <col min="11955" max="11955" width="8.85546875" style="47" customWidth="1"/>
    <col min="11956" max="11956" width="12.7109375" style="47" customWidth="1"/>
    <col min="11957" max="11959" width="9.140625" style="47" customWidth="1"/>
    <col min="11960" max="11960" width="11.42578125" style="47" customWidth="1"/>
    <col min="11961" max="11961" width="8.140625" style="47" customWidth="1"/>
    <col min="11962" max="11962" width="13.85546875" style="47" customWidth="1"/>
    <col min="11963" max="11963" width="13" style="47" customWidth="1"/>
    <col min="11964" max="11967" width="15" style="47" customWidth="1"/>
    <col min="11968" max="11968" width="14.85546875" style="47" customWidth="1"/>
    <col min="11969" max="11969" width="15.85546875" style="47" customWidth="1"/>
    <col min="11970" max="11970" width="15.7109375" style="47" customWidth="1"/>
    <col min="11971" max="11981" width="14.42578125" style="47" customWidth="1"/>
    <col min="11982" max="11985" width="15.5703125" style="47" customWidth="1"/>
    <col min="11986" max="11991" width="14.42578125" style="47" customWidth="1"/>
    <col min="11992" max="11992" width="10.140625" style="47" customWidth="1"/>
    <col min="11993" max="11993" width="16" style="47" customWidth="1"/>
    <col min="11994" max="11994" width="12.28515625" style="47" customWidth="1"/>
    <col min="11995" max="11995" width="12.5703125" style="47" customWidth="1"/>
    <col min="11996" max="11996" width="11" style="47" customWidth="1"/>
    <col min="11997" max="11998" width="13.42578125" style="47" customWidth="1"/>
    <col min="11999" max="11999" width="11.5703125" style="47" customWidth="1"/>
    <col min="12000" max="12000" width="14.140625" style="47" customWidth="1"/>
    <col min="12001" max="12001" width="7.42578125" style="47" customWidth="1"/>
    <col min="12002" max="12003" width="11.5703125" style="47" customWidth="1"/>
    <col min="12004" max="12004" width="9.5703125" style="47" customWidth="1"/>
    <col min="12005" max="12005" width="15.5703125" style="47" customWidth="1"/>
    <col min="12006" max="12006" width="14.28515625" style="47" customWidth="1"/>
    <col min="12007" max="12007" width="13.140625" style="47" customWidth="1"/>
    <col min="12008" max="12181" width="9.140625" style="47"/>
    <col min="12182" max="12182" width="35.5703125" style="47" customWidth="1"/>
    <col min="12183" max="12183" width="19.140625" style="47" customWidth="1"/>
    <col min="12184" max="12184" width="18.5703125" style="47" customWidth="1"/>
    <col min="12185" max="12185" width="17.7109375" style="47" customWidth="1"/>
    <col min="12186" max="12186" width="20.140625" style="47" customWidth="1"/>
    <col min="12187" max="12187" width="12.140625" style="47" customWidth="1"/>
    <col min="12188" max="12197" width="9.140625" style="47" customWidth="1"/>
    <col min="12198" max="12198" width="14.5703125" style="47" customWidth="1"/>
    <col min="12199" max="12199" width="11.140625" style="47" customWidth="1"/>
    <col min="12200" max="12200" width="13.140625" style="47" customWidth="1"/>
    <col min="12201" max="12201" width="12.140625" style="47" customWidth="1"/>
    <col min="12202" max="12202" width="7.42578125" style="47" customWidth="1"/>
    <col min="12203" max="12203" width="13.28515625" style="47" customWidth="1"/>
    <col min="12204" max="12204" width="13.140625" style="47" customWidth="1"/>
    <col min="12205" max="12205" width="10.85546875" style="47" customWidth="1"/>
    <col min="12206" max="12206" width="14.28515625" style="47" customWidth="1"/>
    <col min="12207" max="12207" width="10.140625" style="47" customWidth="1"/>
    <col min="12208" max="12208" width="7.28515625" style="47" customWidth="1"/>
    <col min="12209" max="12209" width="11.85546875" style="47" customWidth="1"/>
    <col min="12210" max="12210" width="11.28515625" style="47" customWidth="1"/>
    <col min="12211" max="12211" width="8.85546875" style="47" customWidth="1"/>
    <col min="12212" max="12212" width="12.7109375" style="47" customWidth="1"/>
    <col min="12213" max="12215" width="9.140625" style="47" customWidth="1"/>
    <col min="12216" max="12216" width="11.42578125" style="47" customWidth="1"/>
    <col min="12217" max="12217" width="8.140625" style="47" customWidth="1"/>
    <col min="12218" max="12218" width="13.85546875" style="47" customWidth="1"/>
    <col min="12219" max="12219" width="13" style="47" customWidth="1"/>
    <col min="12220" max="12223" width="15" style="47" customWidth="1"/>
    <col min="12224" max="12224" width="14.85546875" style="47" customWidth="1"/>
    <col min="12225" max="12225" width="15.85546875" style="47" customWidth="1"/>
    <col min="12226" max="12226" width="15.7109375" style="47" customWidth="1"/>
    <col min="12227" max="12237" width="14.42578125" style="47" customWidth="1"/>
    <col min="12238" max="12241" width="15.5703125" style="47" customWidth="1"/>
    <col min="12242" max="12247" width="14.42578125" style="47" customWidth="1"/>
    <col min="12248" max="12248" width="10.140625" style="47" customWidth="1"/>
    <col min="12249" max="12249" width="16" style="47" customWidth="1"/>
    <col min="12250" max="12250" width="12.28515625" style="47" customWidth="1"/>
    <col min="12251" max="12251" width="12.5703125" style="47" customWidth="1"/>
    <col min="12252" max="12252" width="11" style="47" customWidth="1"/>
    <col min="12253" max="12254" width="13.42578125" style="47" customWidth="1"/>
    <col min="12255" max="12255" width="11.5703125" style="47" customWidth="1"/>
    <col min="12256" max="12256" width="14.140625" style="47" customWidth="1"/>
    <col min="12257" max="12257" width="7.42578125" style="47" customWidth="1"/>
    <col min="12258" max="12259" width="11.5703125" style="47" customWidth="1"/>
    <col min="12260" max="12260" width="9.5703125" style="47" customWidth="1"/>
    <col min="12261" max="12261" width="15.5703125" style="47" customWidth="1"/>
    <col min="12262" max="12262" width="14.28515625" style="47" customWidth="1"/>
    <col min="12263" max="12263" width="13.140625" style="47" customWidth="1"/>
    <col min="12264" max="12437" width="9.140625" style="47"/>
    <col min="12438" max="12438" width="35.5703125" style="47" customWidth="1"/>
    <col min="12439" max="12439" width="19.140625" style="47" customWidth="1"/>
    <col min="12440" max="12440" width="18.5703125" style="47" customWidth="1"/>
    <col min="12441" max="12441" width="17.7109375" style="47" customWidth="1"/>
    <col min="12442" max="12442" width="20.140625" style="47" customWidth="1"/>
    <col min="12443" max="12443" width="12.140625" style="47" customWidth="1"/>
    <col min="12444" max="12453" width="9.140625" style="47" customWidth="1"/>
    <col min="12454" max="12454" width="14.5703125" style="47" customWidth="1"/>
    <col min="12455" max="12455" width="11.140625" style="47" customWidth="1"/>
    <col min="12456" max="12456" width="13.140625" style="47" customWidth="1"/>
    <col min="12457" max="12457" width="12.140625" style="47" customWidth="1"/>
    <col min="12458" max="12458" width="7.42578125" style="47" customWidth="1"/>
    <col min="12459" max="12459" width="13.28515625" style="47" customWidth="1"/>
    <col min="12460" max="12460" width="13.140625" style="47" customWidth="1"/>
    <col min="12461" max="12461" width="10.85546875" style="47" customWidth="1"/>
    <col min="12462" max="12462" width="14.28515625" style="47" customWidth="1"/>
    <col min="12463" max="12463" width="10.140625" style="47" customWidth="1"/>
    <col min="12464" max="12464" width="7.28515625" style="47" customWidth="1"/>
    <col min="12465" max="12465" width="11.85546875" style="47" customWidth="1"/>
    <col min="12466" max="12466" width="11.28515625" style="47" customWidth="1"/>
    <col min="12467" max="12467" width="8.85546875" style="47" customWidth="1"/>
    <col min="12468" max="12468" width="12.7109375" style="47" customWidth="1"/>
    <col min="12469" max="12471" width="9.140625" style="47" customWidth="1"/>
    <col min="12472" max="12472" width="11.42578125" style="47" customWidth="1"/>
    <col min="12473" max="12473" width="8.140625" style="47" customWidth="1"/>
    <col min="12474" max="12474" width="13.85546875" style="47" customWidth="1"/>
    <col min="12475" max="12475" width="13" style="47" customWidth="1"/>
    <col min="12476" max="12479" width="15" style="47" customWidth="1"/>
    <col min="12480" max="12480" width="14.85546875" style="47" customWidth="1"/>
    <col min="12481" max="12481" width="15.85546875" style="47" customWidth="1"/>
    <col min="12482" max="12482" width="15.7109375" style="47" customWidth="1"/>
    <col min="12483" max="12493" width="14.42578125" style="47" customWidth="1"/>
    <col min="12494" max="12497" width="15.5703125" style="47" customWidth="1"/>
    <col min="12498" max="12503" width="14.42578125" style="47" customWidth="1"/>
    <col min="12504" max="12504" width="10.140625" style="47" customWidth="1"/>
    <col min="12505" max="12505" width="16" style="47" customWidth="1"/>
    <col min="12506" max="12506" width="12.28515625" style="47" customWidth="1"/>
    <col min="12507" max="12507" width="12.5703125" style="47" customWidth="1"/>
    <col min="12508" max="12508" width="11" style="47" customWidth="1"/>
    <col min="12509" max="12510" width="13.42578125" style="47" customWidth="1"/>
    <col min="12511" max="12511" width="11.5703125" style="47" customWidth="1"/>
    <col min="12512" max="12512" width="14.140625" style="47" customWidth="1"/>
    <col min="12513" max="12513" width="7.42578125" style="47" customWidth="1"/>
    <col min="12514" max="12515" width="11.5703125" style="47" customWidth="1"/>
    <col min="12516" max="12516" width="9.5703125" style="47" customWidth="1"/>
    <col min="12517" max="12517" width="15.5703125" style="47" customWidth="1"/>
    <col min="12518" max="12518" width="14.28515625" style="47" customWidth="1"/>
    <col min="12519" max="12519" width="13.140625" style="47" customWidth="1"/>
    <col min="12520" max="12693" width="9.140625" style="47"/>
    <col min="12694" max="12694" width="35.5703125" style="47" customWidth="1"/>
    <col min="12695" max="12695" width="19.140625" style="47" customWidth="1"/>
    <col min="12696" max="12696" width="18.5703125" style="47" customWidth="1"/>
    <col min="12697" max="12697" width="17.7109375" style="47" customWidth="1"/>
    <col min="12698" max="12698" width="20.140625" style="47" customWidth="1"/>
    <col min="12699" max="12699" width="12.140625" style="47" customWidth="1"/>
    <col min="12700" max="12709" width="9.140625" style="47" customWidth="1"/>
    <col min="12710" max="12710" width="14.5703125" style="47" customWidth="1"/>
    <col min="12711" max="12711" width="11.140625" style="47" customWidth="1"/>
    <col min="12712" max="12712" width="13.140625" style="47" customWidth="1"/>
    <col min="12713" max="12713" width="12.140625" style="47" customWidth="1"/>
    <col min="12714" max="12714" width="7.42578125" style="47" customWidth="1"/>
    <col min="12715" max="12715" width="13.28515625" style="47" customWidth="1"/>
    <col min="12716" max="12716" width="13.140625" style="47" customWidth="1"/>
    <col min="12717" max="12717" width="10.85546875" style="47" customWidth="1"/>
    <col min="12718" max="12718" width="14.28515625" style="47" customWidth="1"/>
    <col min="12719" max="12719" width="10.140625" style="47" customWidth="1"/>
    <col min="12720" max="12720" width="7.28515625" style="47" customWidth="1"/>
    <col min="12721" max="12721" width="11.85546875" style="47" customWidth="1"/>
    <col min="12722" max="12722" width="11.28515625" style="47" customWidth="1"/>
    <col min="12723" max="12723" width="8.85546875" style="47" customWidth="1"/>
    <col min="12724" max="12724" width="12.7109375" style="47" customWidth="1"/>
    <col min="12725" max="12727" width="9.140625" style="47" customWidth="1"/>
    <col min="12728" max="12728" width="11.42578125" style="47" customWidth="1"/>
    <col min="12729" max="12729" width="8.140625" style="47" customWidth="1"/>
    <col min="12730" max="12730" width="13.85546875" style="47" customWidth="1"/>
    <col min="12731" max="12731" width="13" style="47" customWidth="1"/>
    <col min="12732" max="12735" width="15" style="47" customWidth="1"/>
    <col min="12736" max="12736" width="14.85546875" style="47" customWidth="1"/>
    <col min="12737" max="12737" width="15.85546875" style="47" customWidth="1"/>
    <col min="12738" max="12738" width="15.7109375" style="47" customWidth="1"/>
    <col min="12739" max="12749" width="14.42578125" style="47" customWidth="1"/>
    <col min="12750" max="12753" width="15.5703125" style="47" customWidth="1"/>
    <col min="12754" max="12759" width="14.42578125" style="47" customWidth="1"/>
    <col min="12760" max="12760" width="10.140625" style="47" customWidth="1"/>
    <col min="12761" max="12761" width="16" style="47" customWidth="1"/>
    <col min="12762" max="12762" width="12.28515625" style="47" customWidth="1"/>
    <col min="12763" max="12763" width="12.5703125" style="47" customWidth="1"/>
    <col min="12764" max="12764" width="11" style="47" customWidth="1"/>
    <col min="12765" max="12766" width="13.42578125" style="47" customWidth="1"/>
    <col min="12767" max="12767" width="11.5703125" style="47" customWidth="1"/>
    <col min="12768" max="12768" width="14.140625" style="47" customWidth="1"/>
    <col min="12769" max="12769" width="7.42578125" style="47" customWidth="1"/>
    <col min="12770" max="12771" width="11.5703125" style="47" customWidth="1"/>
    <col min="12772" max="12772" width="9.5703125" style="47" customWidth="1"/>
    <col min="12773" max="12773" width="15.5703125" style="47" customWidth="1"/>
    <col min="12774" max="12774" width="14.28515625" style="47" customWidth="1"/>
    <col min="12775" max="12775" width="13.140625" style="47" customWidth="1"/>
    <col min="12776" max="12949" width="9.140625" style="47"/>
    <col min="12950" max="12950" width="35.5703125" style="47" customWidth="1"/>
    <col min="12951" max="12951" width="19.140625" style="47" customWidth="1"/>
    <col min="12952" max="12952" width="18.5703125" style="47" customWidth="1"/>
    <col min="12953" max="12953" width="17.7109375" style="47" customWidth="1"/>
    <col min="12954" max="12954" width="20.140625" style="47" customWidth="1"/>
    <col min="12955" max="12955" width="12.140625" style="47" customWidth="1"/>
    <col min="12956" max="12965" width="9.140625" style="47" customWidth="1"/>
    <col min="12966" max="12966" width="14.5703125" style="47" customWidth="1"/>
    <col min="12967" max="12967" width="11.140625" style="47" customWidth="1"/>
    <col min="12968" max="12968" width="13.140625" style="47" customWidth="1"/>
    <col min="12969" max="12969" width="12.140625" style="47" customWidth="1"/>
    <col min="12970" max="12970" width="7.42578125" style="47" customWidth="1"/>
    <col min="12971" max="12971" width="13.28515625" style="47" customWidth="1"/>
    <col min="12972" max="12972" width="13.140625" style="47" customWidth="1"/>
    <col min="12973" max="12973" width="10.85546875" style="47" customWidth="1"/>
    <col min="12974" max="12974" width="14.28515625" style="47" customWidth="1"/>
    <col min="12975" max="12975" width="10.140625" style="47" customWidth="1"/>
    <col min="12976" max="12976" width="7.28515625" style="47" customWidth="1"/>
    <col min="12977" max="12977" width="11.85546875" style="47" customWidth="1"/>
    <col min="12978" max="12978" width="11.28515625" style="47" customWidth="1"/>
    <col min="12979" max="12979" width="8.85546875" style="47" customWidth="1"/>
    <col min="12980" max="12980" width="12.7109375" style="47" customWidth="1"/>
    <col min="12981" max="12983" width="9.140625" style="47" customWidth="1"/>
    <col min="12984" max="12984" width="11.42578125" style="47" customWidth="1"/>
    <col min="12985" max="12985" width="8.140625" style="47" customWidth="1"/>
    <col min="12986" max="12986" width="13.85546875" style="47" customWidth="1"/>
    <col min="12987" max="12987" width="13" style="47" customWidth="1"/>
    <col min="12988" max="12991" width="15" style="47" customWidth="1"/>
    <col min="12992" max="12992" width="14.85546875" style="47" customWidth="1"/>
    <col min="12993" max="12993" width="15.85546875" style="47" customWidth="1"/>
    <col min="12994" max="12994" width="15.7109375" style="47" customWidth="1"/>
    <col min="12995" max="13005" width="14.42578125" style="47" customWidth="1"/>
    <col min="13006" max="13009" width="15.5703125" style="47" customWidth="1"/>
    <col min="13010" max="13015" width="14.42578125" style="47" customWidth="1"/>
    <col min="13016" max="13016" width="10.140625" style="47" customWidth="1"/>
    <col min="13017" max="13017" width="16" style="47" customWidth="1"/>
    <col min="13018" max="13018" width="12.28515625" style="47" customWidth="1"/>
    <col min="13019" max="13019" width="12.5703125" style="47" customWidth="1"/>
    <col min="13020" max="13020" width="11" style="47" customWidth="1"/>
    <col min="13021" max="13022" width="13.42578125" style="47" customWidth="1"/>
    <col min="13023" max="13023" width="11.5703125" style="47" customWidth="1"/>
    <col min="13024" max="13024" width="14.140625" style="47" customWidth="1"/>
    <col min="13025" max="13025" width="7.42578125" style="47" customWidth="1"/>
    <col min="13026" max="13027" width="11.5703125" style="47" customWidth="1"/>
    <col min="13028" max="13028" width="9.5703125" style="47" customWidth="1"/>
    <col min="13029" max="13029" width="15.5703125" style="47" customWidth="1"/>
    <col min="13030" max="13030" width="14.28515625" style="47" customWidth="1"/>
    <col min="13031" max="13031" width="13.140625" style="47" customWidth="1"/>
    <col min="13032" max="13205" width="9.140625" style="47"/>
    <col min="13206" max="13206" width="35.5703125" style="47" customWidth="1"/>
    <col min="13207" max="13207" width="19.140625" style="47" customWidth="1"/>
    <col min="13208" max="13208" width="18.5703125" style="47" customWidth="1"/>
    <col min="13209" max="13209" width="17.7109375" style="47" customWidth="1"/>
    <col min="13210" max="13210" width="20.140625" style="47" customWidth="1"/>
    <col min="13211" max="13211" width="12.140625" style="47" customWidth="1"/>
    <col min="13212" max="13221" width="9.140625" style="47" customWidth="1"/>
    <col min="13222" max="13222" width="14.5703125" style="47" customWidth="1"/>
    <col min="13223" max="13223" width="11.140625" style="47" customWidth="1"/>
    <col min="13224" max="13224" width="13.140625" style="47" customWidth="1"/>
    <col min="13225" max="13225" width="12.140625" style="47" customWidth="1"/>
    <col min="13226" max="13226" width="7.42578125" style="47" customWidth="1"/>
    <col min="13227" max="13227" width="13.28515625" style="47" customWidth="1"/>
    <col min="13228" max="13228" width="13.140625" style="47" customWidth="1"/>
    <col min="13229" max="13229" width="10.85546875" style="47" customWidth="1"/>
    <col min="13230" max="13230" width="14.28515625" style="47" customWidth="1"/>
    <col min="13231" max="13231" width="10.140625" style="47" customWidth="1"/>
    <col min="13232" max="13232" width="7.28515625" style="47" customWidth="1"/>
    <col min="13233" max="13233" width="11.85546875" style="47" customWidth="1"/>
    <col min="13234" max="13234" width="11.28515625" style="47" customWidth="1"/>
    <col min="13235" max="13235" width="8.85546875" style="47" customWidth="1"/>
    <col min="13236" max="13236" width="12.7109375" style="47" customWidth="1"/>
    <col min="13237" max="13239" width="9.140625" style="47" customWidth="1"/>
    <col min="13240" max="13240" width="11.42578125" style="47" customWidth="1"/>
    <col min="13241" max="13241" width="8.140625" style="47" customWidth="1"/>
    <col min="13242" max="13242" width="13.85546875" style="47" customWidth="1"/>
    <col min="13243" max="13243" width="13" style="47" customWidth="1"/>
    <col min="13244" max="13247" width="15" style="47" customWidth="1"/>
    <col min="13248" max="13248" width="14.85546875" style="47" customWidth="1"/>
    <col min="13249" max="13249" width="15.85546875" style="47" customWidth="1"/>
    <col min="13250" max="13250" width="15.7109375" style="47" customWidth="1"/>
    <col min="13251" max="13261" width="14.42578125" style="47" customWidth="1"/>
    <col min="13262" max="13265" width="15.5703125" style="47" customWidth="1"/>
    <col min="13266" max="13271" width="14.42578125" style="47" customWidth="1"/>
    <col min="13272" max="13272" width="10.140625" style="47" customWidth="1"/>
    <col min="13273" max="13273" width="16" style="47" customWidth="1"/>
    <col min="13274" max="13274" width="12.28515625" style="47" customWidth="1"/>
    <col min="13275" max="13275" width="12.5703125" style="47" customWidth="1"/>
    <col min="13276" max="13276" width="11" style="47" customWidth="1"/>
    <col min="13277" max="13278" width="13.42578125" style="47" customWidth="1"/>
    <col min="13279" max="13279" width="11.5703125" style="47" customWidth="1"/>
    <col min="13280" max="13280" width="14.140625" style="47" customWidth="1"/>
    <col min="13281" max="13281" width="7.42578125" style="47" customWidth="1"/>
    <col min="13282" max="13283" width="11.5703125" style="47" customWidth="1"/>
    <col min="13284" max="13284" width="9.5703125" style="47" customWidth="1"/>
    <col min="13285" max="13285" width="15.5703125" style="47" customWidth="1"/>
    <col min="13286" max="13286" width="14.28515625" style="47" customWidth="1"/>
    <col min="13287" max="13287" width="13.140625" style="47" customWidth="1"/>
    <col min="13288" max="13461" width="9.140625" style="47"/>
    <col min="13462" max="13462" width="35.5703125" style="47" customWidth="1"/>
    <col min="13463" max="13463" width="19.140625" style="47" customWidth="1"/>
    <col min="13464" max="13464" width="18.5703125" style="47" customWidth="1"/>
    <col min="13465" max="13465" width="17.7109375" style="47" customWidth="1"/>
    <col min="13466" max="13466" width="20.140625" style="47" customWidth="1"/>
    <col min="13467" max="13467" width="12.140625" style="47" customWidth="1"/>
    <col min="13468" max="13477" width="9.140625" style="47" customWidth="1"/>
    <col min="13478" max="13478" width="14.5703125" style="47" customWidth="1"/>
    <col min="13479" max="13479" width="11.140625" style="47" customWidth="1"/>
    <col min="13480" max="13480" width="13.140625" style="47" customWidth="1"/>
    <col min="13481" max="13481" width="12.140625" style="47" customWidth="1"/>
    <col min="13482" max="13482" width="7.42578125" style="47" customWidth="1"/>
    <col min="13483" max="13483" width="13.28515625" style="47" customWidth="1"/>
    <col min="13484" max="13484" width="13.140625" style="47" customWidth="1"/>
    <col min="13485" max="13485" width="10.85546875" style="47" customWidth="1"/>
    <col min="13486" max="13486" width="14.28515625" style="47" customWidth="1"/>
    <col min="13487" max="13487" width="10.140625" style="47" customWidth="1"/>
    <col min="13488" max="13488" width="7.28515625" style="47" customWidth="1"/>
    <col min="13489" max="13489" width="11.85546875" style="47" customWidth="1"/>
    <col min="13490" max="13490" width="11.28515625" style="47" customWidth="1"/>
    <col min="13491" max="13491" width="8.85546875" style="47" customWidth="1"/>
    <col min="13492" max="13492" width="12.7109375" style="47" customWidth="1"/>
    <col min="13493" max="13495" width="9.140625" style="47" customWidth="1"/>
    <col min="13496" max="13496" width="11.42578125" style="47" customWidth="1"/>
    <col min="13497" max="13497" width="8.140625" style="47" customWidth="1"/>
    <col min="13498" max="13498" width="13.85546875" style="47" customWidth="1"/>
    <col min="13499" max="13499" width="13" style="47" customWidth="1"/>
    <col min="13500" max="13503" width="15" style="47" customWidth="1"/>
    <col min="13504" max="13504" width="14.85546875" style="47" customWidth="1"/>
    <col min="13505" max="13505" width="15.85546875" style="47" customWidth="1"/>
    <col min="13506" max="13506" width="15.7109375" style="47" customWidth="1"/>
    <col min="13507" max="13517" width="14.42578125" style="47" customWidth="1"/>
    <col min="13518" max="13521" width="15.5703125" style="47" customWidth="1"/>
    <col min="13522" max="13527" width="14.42578125" style="47" customWidth="1"/>
    <col min="13528" max="13528" width="10.140625" style="47" customWidth="1"/>
    <col min="13529" max="13529" width="16" style="47" customWidth="1"/>
    <col min="13530" max="13530" width="12.28515625" style="47" customWidth="1"/>
    <col min="13531" max="13531" width="12.5703125" style="47" customWidth="1"/>
    <col min="13532" max="13532" width="11" style="47" customWidth="1"/>
    <col min="13533" max="13534" width="13.42578125" style="47" customWidth="1"/>
    <col min="13535" max="13535" width="11.5703125" style="47" customWidth="1"/>
    <col min="13536" max="13536" width="14.140625" style="47" customWidth="1"/>
    <col min="13537" max="13537" width="7.42578125" style="47" customWidth="1"/>
    <col min="13538" max="13539" width="11.5703125" style="47" customWidth="1"/>
    <col min="13540" max="13540" width="9.5703125" style="47" customWidth="1"/>
    <col min="13541" max="13541" width="15.5703125" style="47" customWidth="1"/>
    <col min="13542" max="13542" width="14.28515625" style="47" customWidth="1"/>
    <col min="13543" max="13543" width="13.140625" style="47" customWidth="1"/>
    <col min="13544" max="13717" width="9.140625" style="47"/>
    <col min="13718" max="13718" width="35.5703125" style="47" customWidth="1"/>
    <col min="13719" max="13719" width="19.140625" style="47" customWidth="1"/>
    <col min="13720" max="13720" width="18.5703125" style="47" customWidth="1"/>
    <col min="13721" max="13721" width="17.7109375" style="47" customWidth="1"/>
    <col min="13722" max="13722" width="20.140625" style="47" customWidth="1"/>
    <col min="13723" max="13723" width="12.140625" style="47" customWidth="1"/>
    <col min="13724" max="13733" width="9.140625" style="47" customWidth="1"/>
    <col min="13734" max="13734" width="14.5703125" style="47" customWidth="1"/>
    <col min="13735" max="13735" width="11.140625" style="47" customWidth="1"/>
    <col min="13736" max="13736" width="13.140625" style="47" customWidth="1"/>
    <col min="13737" max="13737" width="12.140625" style="47" customWidth="1"/>
    <col min="13738" max="13738" width="7.42578125" style="47" customWidth="1"/>
    <col min="13739" max="13739" width="13.28515625" style="47" customWidth="1"/>
    <col min="13740" max="13740" width="13.140625" style="47" customWidth="1"/>
    <col min="13741" max="13741" width="10.85546875" style="47" customWidth="1"/>
    <col min="13742" max="13742" width="14.28515625" style="47" customWidth="1"/>
    <col min="13743" max="13743" width="10.140625" style="47" customWidth="1"/>
    <col min="13744" max="13744" width="7.28515625" style="47" customWidth="1"/>
    <col min="13745" max="13745" width="11.85546875" style="47" customWidth="1"/>
    <col min="13746" max="13746" width="11.28515625" style="47" customWidth="1"/>
    <col min="13747" max="13747" width="8.85546875" style="47" customWidth="1"/>
    <col min="13748" max="13748" width="12.7109375" style="47" customWidth="1"/>
    <col min="13749" max="13751" width="9.140625" style="47" customWidth="1"/>
    <col min="13752" max="13752" width="11.42578125" style="47" customWidth="1"/>
    <col min="13753" max="13753" width="8.140625" style="47" customWidth="1"/>
    <col min="13754" max="13754" width="13.85546875" style="47" customWidth="1"/>
    <col min="13755" max="13755" width="13" style="47" customWidth="1"/>
    <col min="13756" max="13759" width="15" style="47" customWidth="1"/>
    <col min="13760" max="13760" width="14.85546875" style="47" customWidth="1"/>
    <col min="13761" max="13761" width="15.85546875" style="47" customWidth="1"/>
    <col min="13762" max="13762" width="15.7109375" style="47" customWidth="1"/>
    <col min="13763" max="13773" width="14.42578125" style="47" customWidth="1"/>
    <col min="13774" max="13777" width="15.5703125" style="47" customWidth="1"/>
    <col min="13778" max="13783" width="14.42578125" style="47" customWidth="1"/>
    <col min="13784" max="13784" width="10.140625" style="47" customWidth="1"/>
    <col min="13785" max="13785" width="16" style="47" customWidth="1"/>
    <col min="13786" max="13786" width="12.28515625" style="47" customWidth="1"/>
    <col min="13787" max="13787" width="12.5703125" style="47" customWidth="1"/>
    <col min="13788" max="13788" width="11" style="47" customWidth="1"/>
    <col min="13789" max="13790" width="13.42578125" style="47" customWidth="1"/>
    <col min="13791" max="13791" width="11.5703125" style="47" customWidth="1"/>
    <col min="13792" max="13792" width="14.140625" style="47" customWidth="1"/>
    <col min="13793" max="13793" width="7.42578125" style="47" customWidth="1"/>
    <col min="13794" max="13795" width="11.5703125" style="47" customWidth="1"/>
    <col min="13796" max="13796" width="9.5703125" style="47" customWidth="1"/>
    <col min="13797" max="13797" width="15.5703125" style="47" customWidth="1"/>
    <col min="13798" max="13798" width="14.28515625" style="47" customWidth="1"/>
    <col min="13799" max="13799" width="13.140625" style="47" customWidth="1"/>
    <col min="13800" max="13973" width="9.140625" style="47"/>
    <col min="13974" max="13974" width="35.5703125" style="47" customWidth="1"/>
    <col min="13975" max="13975" width="19.140625" style="47" customWidth="1"/>
    <col min="13976" max="13976" width="18.5703125" style="47" customWidth="1"/>
    <col min="13977" max="13977" width="17.7109375" style="47" customWidth="1"/>
    <col min="13978" max="13978" width="20.140625" style="47" customWidth="1"/>
    <col min="13979" max="13979" width="12.140625" style="47" customWidth="1"/>
    <col min="13980" max="13989" width="9.140625" style="47" customWidth="1"/>
    <col min="13990" max="13990" width="14.5703125" style="47" customWidth="1"/>
    <col min="13991" max="13991" width="11.140625" style="47" customWidth="1"/>
    <col min="13992" max="13992" width="13.140625" style="47" customWidth="1"/>
    <col min="13993" max="13993" width="12.140625" style="47" customWidth="1"/>
    <col min="13994" max="13994" width="7.42578125" style="47" customWidth="1"/>
    <col min="13995" max="13995" width="13.28515625" style="47" customWidth="1"/>
    <col min="13996" max="13996" width="13.140625" style="47" customWidth="1"/>
    <col min="13997" max="13997" width="10.85546875" style="47" customWidth="1"/>
    <col min="13998" max="13998" width="14.28515625" style="47" customWidth="1"/>
    <col min="13999" max="13999" width="10.140625" style="47" customWidth="1"/>
    <col min="14000" max="14000" width="7.28515625" style="47" customWidth="1"/>
    <col min="14001" max="14001" width="11.85546875" style="47" customWidth="1"/>
    <col min="14002" max="14002" width="11.28515625" style="47" customWidth="1"/>
    <col min="14003" max="14003" width="8.85546875" style="47" customWidth="1"/>
    <col min="14004" max="14004" width="12.7109375" style="47" customWidth="1"/>
    <col min="14005" max="14007" width="9.140625" style="47" customWidth="1"/>
    <col min="14008" max="14008" width="11.42578125" style="47" customWidth="1"/>
    <col min="14009" max="14009" width="8.140625" style="47" customWidth="1"/>
    <col min="14010" max="14010" width="13.85546875" style="47" customWidth="1"/>
    <col min="14011" max="14011" width="13" style="47" customWidth="1"/>
    <col min="14012" max="14015" width="15" style="47" customWidth="1"/>
    <col min="14016" max="14016" width="14.85546875" style="47" customWidth="1"/>
    <col min="14017" max="14017" width="15.85546875" style="47" customWidth="1"/>
    <col min="14018" max="14018" width="15.7109375" style="47" customWidth="1"/>
    <col min="14019" max="14029" width="14.42578125" style="47" customWidth="1"/>
    <col min="14030" max="14033" width="15.5703125" style="47" customWidth="1"/>
    <col min="14034" max="14039" width="14.42578125" style="47" customWidth="1"/>
    <col min="14040" max="14040" width="10.140625" style="47" customWidth="1"/>
    <col min="14041" max="14041" width="16" style="47" customWidth="1"/>
    <col min="14042" max="14042" width="12.28515625" style="47" customWidth="1"/>
    <col min="14043" max="14043" width="12.5703125" style="47" customWidth="1"/>
    <col min="14044" max="14044" width="11" style="47" customWidth="1"/>
    <col min="14045" max="14046" width="13.42578125" style="47" customWidth="1"/>
    <col min="14047" max="14047" width="11.5703125" style="47" customWidth="1"/>
    <col min="14048" max="14048" width="14.140625" style="47" customWidth="1"/>
    <col min="14049" max="14049" width="7.42578125" style="47" customWidth="1"/>
    <col min="14050" max="14051" width="11.5703125" style="47" customWidth="1"/>
    <col min="14052" max="14052" width="9.5703125" style="47" customWidth="1"/>
    <col min="14053" max="14053" width="15.5703125" style="47" customWidth="1"/>
    <col min="14054" max="14054" width="14.28515625" style="47" customWidth="1"/>
    <col min="14055" max="14055" width="13.140625" style="47" customWidth="1"/>
    <col min="14056" max="14229" width="9.140625" style="47"/>
    <col min="14230" max="14230" width="35.5703125" style="47" customWidth="1"/>
    <col min="14231" max="14231" width="19.140625" style="47" customWidth="1"/>
    <col min="14232" max="14232" width="18.5703125" style="47" customWidth="1"/>
    <col min="14233" max="14233" width="17.7109375" style="47" customWidth="1"/>
    <col min="14234" max="14234" width="20.140625" style="47" customWidth="1"/>
    <col min="14235" max="14235" width="12.140625" style="47" customWidth="1"/>
    <col min="14236" max="14245" width="9.140625" style="47" customWidth="1"/>
    <col min="14246" max="14246" width="14.5703125" style="47" customWidth="1"/>
    <col min="14247" max="14247" width="11.140625" style="47" customWidth="1"/>
    <col min="14248" max="14248" width="13.140625" style="47" customWidth="1"/>
    <col min="14249" max="14249" width="12.140625" style="47" customWidth="1"/>
    <col min="14250" max="14250" width="7.42578125" style="47" customWidth="1"/>
    <col min="14251" max="14251" width="13.28515625" style="47" customWidth="1"/>
    <col min="14252" max="14252" width="13.140625" style="47" customWidth="1"/>
    <col min="14253" max="14253" width="10.85546875" style="47" customWidth="1"/>
    <col min="14254" max="14254" width="14.28515625" style="47" customWidth="1"/>
    <col min="14255" max="14255" width="10.140625" style="47" customWidth="1"/>
    <col min="14256" max="14256" width="7.28515625" style="47" customWidth="1"/>
    <col min="14257" max="14257" width="11.85546875" style="47" customWidth="1"/>
    <col min="14258" max="14258" width="11.28515625" style="47" customWidth="1"/>
    <col min="14259" max="14259" width="8.85546875" style="47" customWidth="1"/>
    <col min="14260" max="14260" width="12.7109375" style="47" customWidth="1"/>
    <col min="14261" max="14263" width="9.140625" style="47" customWidth="1"/>
    <col min="14264" max="14264" width="11.42578125" style="47" customWidth="1"/>
    <col min="14265" max="14265" width="8.140625" style="47" customWidth="1"/>
    <col min="14266" max="14266" width="13.85546875" style="47" customWidth="1"/>
    <col min="14267" max="14267" width="13" style="47" customWidth="1"/>
    <col min="14268" max="14271" width="15" style="47" customWidth="1"/>
    <col min="14272" max="14272" width="14.85546875" style="47" customWidth="1"/>
    <col min="14273" max="14273" width="15.85546875" style="47" customWidth="1"/>
    <col min="14274" max="14274" width="15.7109375" style="47" customWidth="1"/>
    <col min="14275" max="14285" width="14.42578125" style="47" customWidth="1"/>
    <col min="14286" max="14289" width="15.5703125" style="47" customWidth="1"/>
    <col min="14290" max="14295" width="14.42578125" style="47" customWidth="1"/>
    <col min="14296" max="14296" width="10.140625" style="47" customWidth="1"/>
    <col min="14297" max="14297" width="16" style="47" customWidth="1"/>
    <col min="14298" max="14298" width="12.28515625" style="47" customWidth="1"/>
    <col min="14299" max="14299" width="12.5703125" style="47" customWidth="1"/>
    <col min="14300" max="14300" width="11" style="47" customWidth="1"/>
    <col min="14301" max="14302" width="13.42578125" style="47" customWidth="1"/>
    <col min="14303" max="14303" width="11.5703125" style="47" customWidth="1"/>
    <col min="14304" max="14304" width="14.140625" style="47" customWidth="1"/>
    <col min="14305" max="14305" width="7.42578125" style="47" customWidth="1"/>
    <col min="14306" max="14307" width="11.5703125" style="47" customWidth="1"/>
    <col min="14308" max="14308" width="9.5703125" style="47" customWidth="1"/>
    <col min="14309" max="14309" width="15.5703125" style="47" customWidth="1"/>
    <col min="14310" max="14310" width="14.28515625" style="47" customWidth="1"/>
    <col min="14311" max="14311" width="13.140625" style="47" customWidth="1"/>
    <col min="14312" max="14485" width="9.140625" style="47"/>
    <col min="14486" max="14486" width="35.5703125" style="47" customWidth="1"/>
    <col min="14487" max="14487" width="19.140625" style="47" customWidth="1"/>
    <col min="14488" max="14488" width="18.5703125" style="47" customWidth="1"/>
    <col min="14489" max="14489" width="17.7109375" style="47" customWidth="1"/>
    <col min="14490" max="14490" width="20.140625" style="47" customWidth="1"/>
    <col min="14491" max="14491" width="12.140625" style="47" customWidth="1"/>
    <col min="14492" max="14501" width="9.140625" style="47" customWidth="1"/>
    <col min="14502" max="14502" width="14.5703125" style="47" customWidth="1"/>
    <col min="14503" max="14503" width="11.140625" style="47" customWidth="1"/>
    <col min="14504" max="14504" width="13.140625" style="47" customWidth="1"/>
    <col min="14505" max="14505" width="12.140625" style="47" customWidth="1"/>
    <col min="14506" max="14506" width="7.42578125" style="47" customWidth="1"/>
    <col min="14507" max="14507" width="13.28515625" style="47" customWidth="1"/>
    <col min="14508" max="14508" width="13.140625" style="47" customWidth="1"/>
    <col min="14509" max="14509" width="10.85546875" style="47" customWidth="1"/>
    <col min="14510" max="14510" width="14.28515625" style="47" customWidth="1"/>
    <col min="14511" max="14511" width="10.140625" style="47" customWidth="1"/>
    <col min="14512" max="14512" width="7.28515625" style="47" customWidth="1"/>
    <col min="14513" max="14513" width="11.85546875" style="47" customWidth="1"/>
    <col min="14514" max="14514" width="11.28515625" style="47" customWidth="1"/>
    <col min="14515" max="14515" width="8.85546875" style="47" customWidth="1"/>
    <col min="14516" max="14516" width="12.7109375" style="47" customWidth="1"/>
    <col min="14517" max="14519" width="9.140625" style="47" customWidth="1"/>
    <col min="14520" max="14520" width="11.42578125" style="47" customWidth="1"/>
    <col min="14521" max="14521" width="8.140625" style="47" customWidth="1"/>
    <col min="14522" max="14522" width="13.85546875" style="47" customWidth="1"/>
    <col min="14523" max="14523" width="13" style="47" customWidth="1"/>
    <col min="14524" max="14527" width="15" style="47" customWidth="1"/>
    <col min="14528" max="14528" width="14.85546875" style="47" customWidth="1"/>
    <col min="14529" max="14529" width="15.85546875" style="47" customWidth="1"/>
    <col min="14530" max="14530" width="15.7109375" style="47" customWidth="1"/>
    <col min="14531" max="14541" width="14.42578125" style="47" customWidth="1"/>
    <col min="14542" max="14545" width="15.5703125" style="47" customWidth="1"/>
    <col min="14546" max="14551" width="14.42578125" style="47" customWidth="1"/>
    <col min="14552" max="14552" width="10.140625" style="47" customWidth="1"/>
    <col min="14553" max="14553" width="16" style="47" customWidth="1"/>
    <col min="14554" max="14554" width="12.28515625" style="47" customWidth="1"/>
    <col min="14555" max="14555" width="12.5703125" style="47" customWidth="1"/>
    <col min="14556" max="14556" width="11" style="47" customWidth="1"/>
    <col min="14557" max="14558" width="13.42578125" style="47" customWidth="1"/>
    <col min="14559" max="14559" width="11.5703125" style="47" customWidth="1"/>
    <col min="14560" max="14560" width="14.140625" style="47" customWidth="1"/>
    <col min="14561" max="14561" width="7.42578125" style="47" customWidth="1"/>
    <col min="14562" max="14563" width="11.5703125" style="47" customWidth="1"/>
    <col min="14564" max="14564" width="9.5703125" style="47" customWidth="1"/>
    <col min="14565" max="14565" width="15.5703125" style="47" customWidth="1"/>
    <col min="14566" max="14566" width="14.28515625" style="47" customWidth="1"/>
    <col min="14567" max="14567" width="13.140625" style="47" customWidth="1"/>
    <col min="14568" max="14741" width="9.140625" style="47"/>
    <col min="14742" max="14742" width="35.5703125" style="47" customWidth="1"/>
    <col min="14743" max="14743" width="19.140625" style="47" customWidth="1"/>
    <col min="14744" max="14744" width="18.5703125" style="47" customWidth="1"/>
    <col min="14745" max="14745" width="17.7109375" style="47" customWidth="1"/>
    <col min="14746" max="14746" width="20.140625" style="47" customWidth="1"/>
    <col min="14747" max="14747" width="12.140625" style="47" customWidth="1"/>
    <col min="14748" max="14757" width="9.140625" style="47" customWidth="1"/>
    <col min="14758" max="14758" width="14.5703125" style="47" customWidth="1"/>
    <col min="14759" max="14759" width="11.140625" style="47" customWidth="1"/>
    <col min="14760" max="14760" width="13.140625" style="47" customWidth="1"/>
    <col min="14761" max="14761" width="12.140625" style="47" customWidth="1"/>
    <col min="14762" max="14762" width="7.42578125" style="47" customWidth="1"/>
    <col min="14763" max="14763" width="13.28515625" style="47" customWidth="1"/>
    <col min="14764" max="14764" width="13.140625" style="47" customWidth="1"/>
    <col min="14765" max="14765" width="10.85546875" style="47" customWidth="1"/>
    <col min="14766" max="14766" width="14.28515625" style="47" customWidth="1"/>
    <col min="14767" max="14767" width="10.140625" style="47" customWidth="1"/>
    <col min="14768" max="14768" width="7.28515625" style="47" customWidth="1"/>
    <col min="14769" max="14769" width="11.85546875" style="47" customWidth="1"/>
    <col min="14770" max="14770" width="11.28515625" style="47" customWidth="1"/>
    <col min="14771" max="14771" width="8.85546875" style="47" customWidth="1"/>
    <col min="14772" max="14772" width="12.7109375" style="47" customWidth="1"/>
    <col min="14773" max="14775" width="9.140625" style="47" customWidth="1"/>
    <col min="14776" max="14776" width="11.42578125" style="47" customWidth="1"/>
    <col min="14777" max="14777" width="8.140625" style="47" customWidth="1"/>
    <col min="14778" max="14778" width="13.85546875" style="47" customWidth="1"/>
    <col min="14779" max="14779" width="13" style="47" customWidth="1"/>
    <col min="14780" max="14783" width="15" style="47" customWidth="1"/>
    <col min="14784" max="14784" width="14.85546875" style="47" customWidth="1"/>
    <col min="14785" max="14785" width="15.85546875" style="47" customWidth="1"/>
    <col min="14786" max="14786" width="15.7109375" style="47" customWidth="1"/>
    <col min="14787" max="14797" width="14.42578125" style="47" customWidth="1"/>
    <col min="14798" max="14801" width="15.5703125" style="47" customWidth="1"/>
    <col min="14802" max="14807" width="14.42578125" style="47" customWidth="1"/>
    <col min="14808" max="14808" width="10.140625" style="47" customWidth="1"/>
    <col min="14809" max="14809" width="16" style="47" customWidth="1"/>
    <col min="14810" max="14810" width="12.28515625" style="47" customWidth="1"/>
    <col min="14811" max="14811" width="12.5703125" style="47" customWidth="1"/>
    <col min="14812" max="14812" width="11" style="47" customWidth="1"/>
    <col min="14813" max="14814" width="13.42578125" style="47" customWidth="1"/>
    <col min="14815" max="14815" width="11.5703125" style="47" customWidth="1"/>
    <col min="14816" max="14816" width="14.140625" style="47" customWidth="1"/>
    <col min="14817" max="14817" width="7.42578125" style="47" customWidth="1"/>
    <col min="14818" max="14819" width="11.5703125" style="47" customWidth="1"/>
    <col min="14820" max="14820" width="9.5703125" style="47" customWidth="1"/>
    <col min="14821" max="14821" width="15.5703125" style="47" customWidth="1"/>
    <col min="14822" max="14822" width="14.28515625" style="47" customWidth="1"/>
    <col min="14823" max="14823" width="13.140625" style="47" customWidth="1"/>
    <col min="14824" max="14997" width="9.140625" style="47"/>
    <col min="14998" max="14998" width="35.5703125" style="47" customWidth="1"/>
    <col min="14999" max="14999" width="19.140625" style="47" customWidth="1"/>
    <col min="15000" max="15000" width="18.5703125" style="47" customWidth="1"/>
    <col min="15001" max="15001" width="17.7109375" style="47" customWidth="1"/>
    <col min="15002" max="15002" width="20.140625" style="47" customWidth="1"/>
    <col min="15003" max="15003" width="12.140625" style="47" customWidth="1"/>
    <col min="15004" max="15013" width="9.140625" style="47" customWidth="1"/>
    <col min="15014" max="15014" width="14.5703125" style="47" customWidth="1"/>
    <col min="15015" max="15015" width="11.140625" style="47" customWidth="1"/>
    <col min="15016" max="15016" width="13.140625" style="47" customWidth="1"/>
    <col min="15017" max="15017" width="12.140625" style="47" customWidth="1"/>
    <col min="15018" max="15018" width="7.42578125" style="47" customWidth="1"/>
    <col min="15019" max="15019" width="13.28515625" style="47" customWidth="1"/>
    <col min="15020" max="15020" width="13.140625" style="47" customWidth="1"/>
    <col min="15021" max="15021" width="10.85546875" style="47" customWidth="1"/>
    <col min="15022" max="15022" width="14.28515625" style="47" customWidth="1"/>
    <col min="15023" max="15023" width="10.140625" style="47" customWidth="1"/>
    <col min="15024" max="15024" width="7.28515625" style="47" customWidth="1"/>
    <col min="15025" max="15025" width="11.85546875" style="47" customWidth="1"/>
    <col min="15026" max="15026" width="11.28515625" style="47" customWidth="1"/>
    <col min="15027" max="15027" width="8.85546875" style="47" customWidth="1"/>
    <col min="15028" max="15028" width="12.7109375" style="47" customWidth="1"/>
    <col min="15029" max="15031" width="9.140625" style="47" customWidth="1"/>
    <col min="15032" max="15032" width="11.42578125" style="47" customWidth="1"/>
    <col min="15033" max="15033" width="8.140625" style="47" customWidth="1"/>
    <col min="15034" max="15034" width="13.85546875" style="47" customWidth="1"/>
    <col min="15035" max="15035" width="13" style="47" customWidth="1"/>
    <col min="15036" max="15039" width="15" style="47" customWidth="1"/>
    <col min="15040" max="15040" width="14.85546875" style="47" customWidth="1"/>
    <col min="15041" max="15041" width="15.85546875" style="47" customWidth="1"/>
    <col min="15042" max="15042" width="15.7109375" style="47" customWidth="1"/>
    <col min="15043" max="15053" width="14.42578125" style="47" customWidth="1"/>
    <col min="15054" max="15057" width="15.5703125" style="47" customWidth="1"/>
    <col min="15058" max="15063" width="14.42578125" style="47" customWidth="1"/>
    <col min="15064" max="15064" width="10.140625" style="47" customWidth="1"/>
    <col min="15065" max="15065" width="16" style="47" customWidth="1"/>
    <col min="15066" max="15066" width="12.28515625" style="47" customWidth="1"/>
    <col min="15067" max="15067" width="12.5703125" style="47" customWidth="1"/>
    <col min="15068" max="15068" width="11" style="47" customWidth="1"/>
    <col min="15069" max="15070" width="13.42578125" style="47" customWidth="1"/>
    <col min="15071" max="15071" width="11.5703125" style="47" customWidth="1"/>
    <col min="15072" max="15072" width="14.140625" style="47" customWidth="1"/>
    <col min="15073" max="15073" width="7.42578125" style="47" customWidth="1"/>
    <col min="15074" max="15075" width="11.5703125" style="47" customWidth="1"/>
    <col min="15076" max="15076" width="9.5703125" style="47" customWidth="1"/>
    <col min="15077" max="15077" width="15.5703125" style="47" customWidth="1"/>
    <col min="15078" max="15078" width="14.28515625" style="47" customWidth="1"/>
    <col min="15079" max="15079" width="13.140625" style="47" customWidth="1"/>
    <col min="15080" max="15253" width="9.140625" style="47"/>
    <col min="15254" max="15254" width="35.5703125" style="47" customWidth="1"/>
    <col min="15255" max="15255" width="19.140625" style="47" customWidth="1"/>
    <col min="15256" max="15256" width="18.5703125" style="47" customWidth="1"/>
    <col min="15257" max="15257" width="17.7109375" style="47" customWidth="1"/>
    <col min="15258" max="15258" width="20.140625" style="47" customWidth="1"/>
    <col min="15259" max="15259" width="12.140625" style="47" customWidth="1"/>
    <col min="15260" max="15269" width="9.140625" style="47" customWidth="1"/>
    <col min="15270" max="15270" width="14.5703125" style="47" customWidth="1"/>
    <col min="15271" max="15271" width="11.140625" style="47" customWidth="1"/>
    <col min="15272" max="15272" width="13.140625" style="47" customWidth="1"/>
    <col min="15273" max="15273" width="12.140625" style="47" customWidth="1"/>
    <col min="15274" max="15274" width="7.42578125" style="47" customWidth="1"/>
    <col min="15275" max="15275" width="13.28515625" style="47" customWidth="1"/>
    <col min="15276" max="15276" width="13.140625" style="47" customWidth="1"/>
    <col min="15277" max="15277" width="10.85546875" style="47" customWidth="1"/>
    <col min="15278" max="15278" width="14.28515625" style="47" customWidth="1"/>
    <col min="15279" max="15279" width="10.140625" style="47" customWidth="1"/>
    <col min="15280" max="15280" width="7.28515625" style="47" customWidth="1"/>
    <col min="15281" max="15281" width="11.85546875" style="47" customWidth="1"/>
    <col min="15282" max="15282" width="11.28515625" style="47" customWidth="1"/>
    <col min="15283" max="15283" width="8.85546875" style="47" customWidth="1"/>
    <col min="15284" max="15284" width="12.7109375" style="47" customWidth="1"/>
    <col min="15285" max="15287" width="9.140625" style="47" customWidth="1"/>
    <col min="15288" max="15288" width="11.42578125" style="47" customWidth="1"/>
    <col min="15289" max="15289" width="8.140625" style="47" customWidth="1"/>
    <col min="15290" max="15290" width="13.85546875" style="47" customWidth="1"/>
    <col min="15291" max="15291" width="13" style="47" customWidth="1"/>
    <col min="15292" max="15295" width="15" style="47" customWidth="1"/>
    <col min="15296" max="15296" width="14.85546875" style="47" customWidth="1"/>
    <col min="15297" max="15297" width="15.85546875" style="47" customWidth="1"/>
    <col min="15298" max="15298" width="15.7109375" style="47" customWidth="1"/>
    <col min="15299" max="15309" width="14.42578125" style="47" customWidth="1"/>
    <col min="15310" max="15313" width="15.5703125" style="47" customWidth="1"/>
    <col min="15314" max="15319" width="14.42578125" style="47" customWidth="1"/>
    <col min="15320" max="15320" width="10.140625" style="47" customWidth="1"/>
    <col min="15321" max="15321" width="16" style="47" customWidth="1"/>
    <col min="15322" max="15322" width="12.28515625" style="47" customWidth="1"/>
    <col min="15323" max="15323" width="12.5703125" style="47" customWidth="1"/>
    <col min="15324" max="15324" width="11" style="47" customWidth="1"/>
    <col min="15325" max="15326" width="13.42578125" style="47" customWidth="1"/>
    <col min="15327" max="15327" width="11.5703125" style="47" customWidth="1"/>
    <col min="15328" max="15328" width="14.140625" style="47" customWidth="1"/>
    <col min="15329" max="15329" width="7.42578125" style="47" customWidth="1"/>
    <col min="15330" max="15331" width="11.5703125" style="47" customWidth="1"/>
    <col min="15332" max="15332" width="9.5703125" style="47" customWidth="1"/>
    <col min="15333" max="15333" width="15.5703125" style="47" customWidth="1"/>
    <col min="15334" max="15334" width="14.28515625" style="47" customWidth="1"/>
    <col min="15335" max="15335" width="13.140625" style="47" customWidth="1"/>
    <col min="15336" max="15509" width="9.140625" style="47"/>
    <col min="15510" max="15510" width="35.5703125" style="47" customWidth="1"/>
    <col min="15511" max="15511" width="19.140625" style="47" customWidth="1"/>
    <col min="15512" max="15512" width="18.5703125" style="47" customWidth="1"/>
    <col min="15513" max="15513" width="17.7109375" style="47" customWidth="1"/>
    <col min="15514" max="15514" width="20.140625" style="47" customWidth="1"/>
    <col min="15515" max="15515" width="12.140625" style="47" customWidth="1"/>
    <col min="15516" max="15525" width="9.140625" style="47" customWidth="1"/>
    <col min="15526" max="15526" width="14.5703125" style="47" customWidth="1"/>
    <col min="15527" max="15527" width="11.140625" style="47" customWidth="1"/>
    <col min="15528" max="15528" width="13.140625" style="47" customWidth="1"/>
    <col min="15529" max="15529" width="12.140625" style="47" customWidth="1"/>
    <col min="15530" max="15530" width="7.42578125" style="47" customWidth="1"/>
    <col min="15531" max="15531" width="13.28515625" style="47" customWidth="1"/>
    <col min="15532" max="15532" width="13.140625" style="47" customWidth="1"/>
    <col min="15533" max="15533" width="10.85546875" style="47" customWidth="1"/>
    <col min="15534" max="15534" width="14.28515625" style="47" customWidth="1"/>
    <col min="15535" max="15535" width="10.140625" style="47" customWidth="1"/>
    <col min="15536" max="15536" width="7.28515625" style="47" customWidth="1"/>
    <col min="15537" max="15537" width="11.85546875" style="47" customWidth="1"/>
    <col min="15538" max="15538" width="11.28515625" style="47" customWidth="1"/>
    <col min="15539" max="15539" width="8.85546875" style="47" customWidth="1"/>
    <col min="15540" max="15540" width="12.7109375" style="47" customWidth="1"/>
    <col min="15541" max="15543" width="9.140625" style="47" customWidth="1"/>
    <col min="15544" max="15544" width="11.42578125" style="47" customWidth="1"/>
    <col min="15545" max="15545" width="8.140625" style="47" customWidth="1"/>
    <col min="15546" max="15546" width="13.85546875" style="47" customWidth="1"/>
    <col min="15547" max="15547" width="13" style="47" customWidth="1"/>
    <col min="15548" max="15551" width="15" style="47" customWidth="1"/>
    <col min="15552" max="15552" width="14.85546875" style="47" customWidth="1"/>
    <col min="15553" max="15553" width="15.85546875" style="47" customWidth="1"/>
    <col min="15554" max="15554" width="15.7109375" style="47" customWidth="1"/>
    <col min="15555" max="15565" width="14.42578125" style="47" customWidth="1"/>
    <col min="15566" max="15569" width="15.5703125" style="47" customWidth="1"/>
    <col min="15570" max="15575" width="14.42578125" style="47" customWidth="1"/>
    <col min="15576" max="15576" width="10.140625" style="47" customWidth="1"/>
    <col min="15577" max="15577" width="16" style="47" customWidth="1"/>
    <col min="15578" max="15578" width="12.28515625" style="47" customWidth="1"/>
    <col min="15579" max="15579" width="12.5703125" style="47" customWidth="1"/>
    <col min="15580" max="15580" width="11" style="47" customWidth="1"/>
    <col min="15581" max="15582" width="13.42578125" style="47" customWidth="1"/>
    <col min="15583" max="15583" width="11.5703125" style="47" customWidth="1"/>
    <col min="15584" max="15584" width="14.140625" style="47" customWidth="1"/>
    <col min="15585" max="15585" width="7.42578125" style="47" customWidth="1"/>
    <col min="15586" max="15587" width="11.5703125" style="47" customWidth="1"/>
    <col min="15588" max="15588" width="9.5703125" style="47" customWidth="1"/>
    <col min="15589" max="15589" width="15.5703125" style="47" customWidth="1"/>
    <col min="15590" max="15590" width="14.28515625" style="47" customWidth="1"/>
    <col min="15591" max="15591" width="13.140625" style="47" customWidth="1"/>
    <col min="15592" max="15765" width="9.140625" style="47"/>
    <col min="15766" max="15766" width="35.5703125" style="47" customWidth="1"/>
    <col min="15767" max="15767" width="19.140625" style="47" customWidth="1"/>
    <col min="15768" max="15768" width="18.5703125" style="47" customWidth="1"/>
    <col min="15769" max="15769" width="17.7109375" style="47" customWidth="1"/>
    <col min="15770" max="15770" width="20.140625" style="47" customWidth="1"/>
    <col min="15771" max="15771" width="12.140625" style="47" customWidth="1"/>
    <col min="15772" max="15781" width="9.140625" style="47" customWidth="1"/>
    <col min="15782" max="15782" width="14.5703125" style="47" customWidth="1"/>
    <col min="15783" max="15783" width="11.140625" style="47" customWidth="1"/>
    <col min="15784" max="15784" width="13.140625" style="47" customWidth="1"/>
    <col min="15785" max="15785" width="12.140625" style="47" customWidth="1"/>
    <col min="15786" max="15786" width="7.42578125" style="47" customWidth="1"/>
    <col min="15787" max="15787" width="13.28515625" style="47" customWidth="1"/>
    <col min="15788" max="15788" width="13.140625" style="47" customWidth="1"/>
    <col min="15789" max="15789" width="10.85546875" style="47" customWidth="1"/>
    <col min="15790" max="15790" width="14.28515625" style="47" customWidth="1"/>
    <col min="15791" max="15791" width="10.140625" style="47" customWidth="1"/>
    <col min="15792" max="15792" width="7.28515625" style="47" customWidth="1"/>
    <col min="15793" max="15793" width="11.85546875" style="47" customWidth="1"/>
    <col min="15794" max="15794" width="11.28515625" style="47" customWidth="1"/>
    <col min="15795" max="15795" width="8.85546875" style="47" customWidth="1"/>
    <col min="15796" max="15796" width="12.7109375" style="47" customWidth="1"/>
    <col min="15797" max="15799" width="9.140625" style="47" customWidth="1"/>
    <col min="15800" max="15800" width="11.42578125" style="47" customWidth="1"/>
    <col min="15801" max="15801" width="8.140625" style="47" customWidth="1"/>
    <col min="15802" max="15802" width="13.85546875" style="47" customWidth="1"/>
    <col min="15803" max="15803" width="13" style="47" customWidth="1"/>
    <col min="15804" max="15807" width="15" style="47" customWidth="1"/>
    <col min="15808" max="15808" width="14.85546875" style="47" customWidth="1"/>
    <col min="15809" max="15809" width="15.85546875" style="47" customWidth="1"/>
    <col min="15810" max="15810" width="15.7109375" style="47" customWidth="1"/>
    <col min="15811" max="15821" width="14.42578125" style="47" customWidth="1"/>
    <col min="15822" max="15825" width="15.5703125" style="47" customWidth="1"/>
    <col min="15826" max="15831" width="14.42578125" style="47" customWidth="1"/>
    <col min="15832" max="15832" width="10.140625" style="47" customWidth="1"/>
    <col min="15833" max="15833" width="16" style="47" customWidth="1"/>
    <col min="15834" max="15834" width="12.28515625" style="47" customWidth="1"/>
    <col min="15835" max="15835" width="12.5703125" style="47" customWidth="1"/>
    <col min="15836" max="15836" width="11" style="47" customWidth="1"/>
    <col min="15837" max="15838" width="13.42578125" style="47" customWidth="1"/>
    <col min="15839" max="15839" width="11.5703125" style="47" customWidth="1"/>
    <col min="15840" max="15840" width="14.140625" style="47" customWidth="1"/>
    <col min="15841" max="15841" width="7.42578125" style="47" customWidth="1"/>
    <col min="15842" max="15843" width="11.5703125" style="47" customWidth="1"/>
    <col min="15844" max="15844" width="9.5703125" style="47" customWidth="1"/>
    <col min="15845" max="15845" width="15.5703125" style="47" customWidth="1"/>
    <col min="15846" max="15846" width="14.28515625" style="47" customWidth="1"/>
    <col min="15847" max="15847" width="13.140625" style="47" customWidth="1"/>
    <col min="15848" max="16021" width="9.140625" style="47"/>
    <col min="16022" max="16022" width="35.5703125" style="47" customWidth="1"/>
    <col min="16023" max="16023" width="19.140625" style="47" customWidth="1"/>
    <col min="16024" max="16024" width="18.5703125" style="47" customWidth="1"/>
    <col min="16025" max="16025" width="17.7109375" style="47" customWidth="1"/>
    <col min="16026" max="16026" width="20.140625" style="47" customWidth="1"/>
    <col min="16027" max="16027" width="12.140625" style="47" customWidth="1"/>
    <col min="16028" max="16037" width="9.140625" style="47" customWidth="1"/>
    <col min="16038" max="16038" width="14.5703125" style="47" customWidth="1"/>
    <col min="16039" max="16039" width="11.140625" style="47" customWidth="1"/>
    <col min="16040" max="16040" width="13.140625" style="47" customWidth="1"/>
    <col min="16041" max="16041" width="12.140625" style="47" customWidth="1"/>
    <col min="16042" max="16042" width="7.42578125" style="47" customWidth="1"/>
    <col min="16043" max="16043" width="13.28515625" style="47" customWidth="1"/>
    <col min="16044" max="16044" width="13.140625" style="47" customWidth="1"/>
    <col min="16045" max="16045" width="10.85546875" style="47" customWidth="1"/>
    <col min="16046" max="16046" width="14.28515625" style="47" customWidth="1"/>
    <col min="16047" max="16047" width="10.140625" style="47" customWidth="1"/>
    <col min="16048" max="16048" width="7.28515625" style="47" customWidth="1"/>
    <col min="16049" max="16049" width="11.85546875" style="47" customWidth="1"/>
    <col min="16050" max="16050" width="11.28515625" style="47" customWidth="1"/>
    <col min="16051" max="16051" width="8.85546875" style="47" customWidth="1"/>
    <col min="16052" max="16052" width="12.7109375" style="47" customWidth="1"/>
    <col min="16053" max="16055" width="9.140625" style="47" customWidth="1"/>
    <col min="16056" max="16056" width="11.42578125" style="47" customWidth="1"/>
    <col min="16057" max="16057" width="8.140625" style="47" customWidth="1"/>
    <col min="16058" max="16058" width="13.85546875" style="47" customWidth="1"/>
    <col min="16059" max="16059" width="13" style="47" customWidth="1"/>
    <col min="16060" max="16063" width="15" style="47" customWidth="1"/>
    <col min="16064" max="16064" width="14.85546875" style="47" customWidth="1"/>
    <col min="16065" max="16065" width="15.85546875" style="47" customWidth="1"/>
    <col min="16066" max="16066" width="15.7109375" style="47" customWidth="1"/>
    <col min="16067" max="16077" width="14.42578125" style="47" customWidth="1"/>
    <col min="16078" max="16081" width="15.5703125" style="47" customWidth="1"/>
    <col min="16082" max="16087" width="14.42578125" style="47" customWidth="1"/>
    <col min="16088" max="16088" width="10.140625" style="47" customWidth="1"/>
    <col min="16089" max="16089" width="16" style="47" customWidth="1"/>
    <col min="16090" max="16090" width="12.28515625" style="47" customWidth="1"/>
    <col min="16091" max="16091" width="12.5703125" style="47" customWidth="1"/>
    <col min="16092" max="16092" width="11" style="47" customWidth="1"/>
    <col min="16093" max="16094" width="13.42578125" style="47" customWidth="1"/>
    <col min="16095" max="16095" width="11.5703125" style="47" customWidth="1"/>
    <col min="16096" max="16096" width="14.140625" style="47" customWidth="1"/>
    <col min="16097" max="16097" width="7.42578125" style="47" customWidth="1"/>
    <col min="16098" max="16099" width="11.5703125" style="47" customWidth="1"/>
    <col min="16100" max="16100" width="9.5703125" style="47" customWidth="1"/>
    <col min="16101" max="16101" width="15.5703125" style="47" customWidth="1"/>
    <col min="16102" max="16102" width="14.28515625" style="47" customWidth="1"/>
    <col min="16103" max="16103" width="13.140625" style="47" customWidth="1"/>
    <col min="16104" max="16384" width="9.140625" style="47"/>
  </cols>
  <sheetData>
    <row r="1" spans="1:7" ht="20.25" x14ac:dyDescent="0.25">
      <c r="A1" s="86"/>
      <c r="B1" s="126" t="s">
        <v>116</v>
      </c>
      <c r="C1" s="126"/>
      <c r="D1" s="126"/>
      <c r="E1" s="126"/>
      <c r="F1" s="126"/>
      <c r="G1" s="126"/>
    </row>
    <row r="3" spans="1:7" s="83" customFormat="1" ht="15.75" customHeight="1" x14ac:dyDescent="0.25">
      <c r="A3" s="127" t="s">
        <v>115</v>
      </c>
      <c r="B3" s="128" t="s">
        <v>114</v>
      </c>
      <c r="C3" s="129" t="s">
        <v>113</v>
      </c>
      <c r="D3" s="130"/>
      <c r="E3" s="130"/>
      <c r="F3" s="130"/>
      <c r="G3" s="133" t="s">
        <v>112</v>
      </c>
    </row>
    <row r="4" spans="1:7" s="83" customFormat="1" ht="15.75" customHeight="1" x14ac:dyDescent="0.25">
      <c r="A4" s="127"/>
      <c r="B4" s="128"/>
      <c r="C4" s="131"/>
      <c r="D4" s="132"/>
      <c r="E4" s="132"/>
      <c r="F4" s="132"/>
      <c r="G4" s="134"/>
    </row>
    <row r="5" spans="1:7" s="83" customFormat="1" ht="267.75" x14ac:dyDescent="0.25">
      <c r="A5" s="127"/>
      <c r="B5" s="128"/>
      <c r="C5" s="84" t="s">
        <v>111</v>
      </c>
      <c r="D5" s="84" t="s">
        <v>110</v>
      </c>
      <c r="E5" s="84" t="s">
        <v>109</v>
      </c>
      <c r="F5" s="85" t="s">
        <v>108</v>
      </c>
      <c r="G5" s="135"/>
    </row>
    <row r="6" spans="1:7" ht="15.75" x14ac:dyDescent="0.25">
      <c r="A6" s="79">
        <v>1</v>
      </c>
      <c r="B6" s="82" t="s">
        <v>7</v>
      </c>
      <c r="C6" s="80">
        <f>17999+20975</f>
        <v>38974</v>
      </c>
      <c r="D6" s="80">
        <f>17773+21483</f>
        <v>39256</v>
      </c>
      <c r="E6" s="80">
        <v>37136</v>
      </c>
      <c r="F6" s="78">
        <f t="shared" ref="F6:F16" si="0">(C6+D6+E6)/3</f>
        <v>38455.333333333336</v>
      </c>
      <c r="G6" s="81">
        <v>6.04</v>
      </c>
    </row>
    <row r="7" spans="1:7" ht="15.75" x14ac:dyDescent="0.25">
      <c r="A7" s="79">
        <f t="shared" ref="A7:A38" si="1">A6+1</f>
        <v>2</v>
      </c>
      <c r="B7" s="75" t="s">
        <v>8</v>
      </c>
      <c r="C7" s="80">
        <f>11383+17799</f>
        <v>29182</v>
      </c>
      <c r="D7" s="80">
        <f>11434+18798</f>
        <v>30232</v>
      </c>
      <c r="E7" s="80">
        <v>26957</v>
      </c>
      <c r="F7" s="78">
        <f t="shared" si="0"/>
        <v>28790.333333333332</v>
      </c>
      <c r="G7" s="72">
        <v>6.19</v>
      </c>
    </row>
    <row r="8" spans="1:7" ht="15.75" x14ac:dyDescent="0.25">
      <c r="A8" s="79">
        <f t="shared" si="1"/>
        <v>3</v>
      </c>
      <c r="B8" s="75" t="s">
        <v>9</v>
      </c>
      <c r="C8" s="80">
        <f>178988+222784</f>
        <v>401772</v>
      </c>
      <c r="D8" s="80">
        <f>178785+221150</f>
        <v>399935</v>
      </c>
      <c r="E8" s="80">
        <v>376135</v>
      </c>
      <c r="F8" s="78">
        <f t="shared" si="0"/>
        <v>392614</v>
      </c>
      <c r="G8" s="72">
        <v>6.14</v>
      </c>
    </row>
    <row r="9" spans="1:7" ht="15.75" x14ac:dyDescent="0.25">
      <c r="A9" s="79">
        <f t="shared" si="1"/>
        <v>4</v>
      </c>
      <c r="B9" s="75" t="s">
        <v>10</v>
      </c>
      <c r="C9" s="80">
        <f>46913+60218</f>
        <v>107131</v>
      </c>
      <c r="D9" s="80">
        <f>46104+59510</f>
        <v>105614</v>
      </c>
      <c r="E9" s="80">
        <v>100273</v>
      </c>
      <c r="F9" s="78">
        <f t="shared" si="0"/>
        <v>104339.33333333333</v>
      </c>
      <c r="G9" s="72">
        <v>6.15</v>
      </c>
    </row>
    <row r="10" spans="1:7" ht="15.75" x14ac:dyDescent="0.25">
      <c r="A10" s="79">
        <f t="shared" si="1"/>
        <v>5</v>
      </c>
      <c r="B10" s="75" t="s">
        <v>11</v>
      </c>
      <c r="C10" s="80">
        <f>111521+66948</f>
        <v>178469</v>
      </c>
      <c r="D10" s="80">
        <f>112417+61700</f>
        <v>174117</v>
      </c>
      <c r="E10" s="80">
        <v>170044</v>
      </c>
      <c r="F10" s="78">
        <f t="shared" si="0"/>
        <v>174210</v>
      </c>
      <c r="G10" s="72">
        <v>6.01</v>
      </c>
    </row>
    <row r="11" spans="1:7" ht="15.75" x14ac:dyDescent="0.25">
      <c r="A11" s="79">
        <f t="shared" si="1"/>
        <v>6</v>
      </c>
      <c r="B11" s="75" t="s">
        <v>12</v>
      </c>
      <c r="C11" s="80">
        <f>16208+18335</f>
        <v>34543</v>
      </c>
      <c r="D11" s="80">
        <f>15639+17750</f>
        <v>33389</v>
      </c>
      <c r="E11" s="80">
        <v>30839</v>
      </c>
      <c r="F11" s="78">
        <f t="shared" si="0"/>
        <v>32923.666666666664</v>
      </c>
      <c r="G11" s="72">
        <v>6.39</v>
      </c>
    </row>
    <row r="12" spans="1:7" ht="15.75" x14ac:dyDescent="0.25">
      <c r="A12" s="79">
        <f t="shared" si="1"/>
        <v>7</v>
      </c>
      <c r="B12" s="75" t="s">
        <v>13</v>
      </c>
      <c r="C12" s="80">
        <f>32056+78155</f>
        <v>110211</v>
      </c>
      <c r="D12" s="80">
        <f>31660+94483</f>
        <v>126143</v>
      </c>
      <c r="E12" s="80">
        <v>153184</v>
      </c>
      <c r="F12" s="78">
        <f t="shared" si="0"/>
        <v>129846</v>
      </c>
      <c r="G12" s="72">
        <v>5.63</v>
      </c>
    </row>
    <row r="13" spans="1:7" ht="15.75" x14ac:dyDescent="0.25">
      <c r="A13" s="79">
        <f t="shared" si="1"/>
        <v>8</v>
      </c>
      <c r="B13" s="75" t="s">
        <v>14</v>
      </c>
      <c r="C13" s="80">
        <f>11285+16261</f>
        <v>27546</v>
      </c>
      <c r="D13" s="80">
        <f>10927+16501</f>
        <v>27428</v>
      </c>
      <c r="E13" s="80">
        <v>25564</v>
      </c>
      <c r="F13" s="78">
        <f t="shared" si="0"/>
        <v>26846</v>
      </c>
      <c r="G13" s="72">
        <v>6.18</v>
      </c>
    </row>
    <row r="14" spans="1:7" ht="15.75" x14ac:dyDescent="0.25">
      <c r="A14" s="79">
        <f t="shared" si="1"/>
        <v>9</v>
      </c>
      <c r="B14" s="75" t="s">
        <v>15</v>
      </c>
      <c r="C14" s="80">
        <f>17370+25393</f>
        <v>42763</v>
      </c>
      <c r="D14" s="80">
        <f>17182+25497</f>
        <v>42679</v>
      </c>
      <c r="E14" s="80">
        <v>40560</v>
      </c>
      <c r="F14" s="78">
        <f t="shared" si="0"/>
        <v>42000.666666666664</v>
      </c>
      <c r="G14" s="72">
        <v>6.35</v>
      </c>
    </row>
    <row r="15" spans="1:7" ht="15.75" x14ac:dyDescent="0.25">
      <c r="A15" s="79">
        <f t="shared" si="1"/>
        <v>10</v>
      </c>
      <c r="B15" s="75" t="s">
        <v>16</v>
      </c>
      <c r="C15" s="80">
        <f>28188+39295</f>
        <v>67483</v>
      </c>
      <c r="D15" s="80">
        <f>28101+39270</f>
        <v>67371</v>
      </c>
      <c r="E15" s="80">
        <v>63828</v>
      </c>
      <c r="F15" s="78">
        <f t="shared" si="0"/>
        <v>66227.333333333328</v>
      </c>
      <c r="G15" s="72">
        <v>5.96</v>
      </c>
    </row>
    <row r="16" spans="1:7" ht="15.75" x14ac:dyDescent="0.25">
      <c r="A16" s="79">
        <f t="shared" si="1"/>
        <v>11</v>
      </c>
      <c r="B16" s="75" t="s">
        <v>17</v>
      </c>
      <c r="C16" s="80">
        <f>40203+53581</f>
        <v>93784</v>
      </c>
      <c r="D16" s="80">
        <f>39400+53093</f>
        <v>92493</v>
      </c>
      <c r="E16" s="80">
        <v>86815</v>
      </c>
      <c r="F16" s="78">
        <f t="shared" si="0"/>
        <v>91030.666666666672</v>
      </c>
      <c r="G16" s="72">
        <v>5.85</v>
      </c>
    </row>
    <row r="17" spans="1:7" ht="15.75" x14ac:dyDescent="0.25">
      <c r="A17" s="79">
        <f t="shared" si="1"/>
        <v>12</v>
      </c>
      <c r="B17" s="75" t="s">
        <v>18</v>
      </c>
      <c r="C17" s="78"/>
      <c r="D17" s="78"/>
      <c r="E17" s="78">
        <v>263867</v>
      </c>
      <c r="F17" s="78">
        <f>(C17+D17+E17)</f>
        <v>263867</v>
      </c>
      <c r="G17" s="77">
        <v>6.38</v>
      </c>
    </row>
    <row r="18" spans="1:7" ht="15.75" x14ac:dyDescent="0.25">
      <c r="A18" s="79">
        <f t="shared" si="1"/>
        <v>13</v>
      </c>
      <c r="B18" s="75" t="s">
        <v>19</v>
      </c>
      <c r="C18" s="80">
        <f>30512+49723</f>
        <v>80235</v>
      </c>
      <c r="D18" s="80">
        <f>30496+55968</f>
        <v>86464</v>
      </c>
      <c r="E18" s="80">
        <v>95037</v>
      </c>
      <c r="F18" s="78">
        <f t="shared" ref="F18:F49" si="2">(C18+D18+E18)/3</f>
        <v>87245.333333333328</v>
      </c>
      <c r="G18" s="72">
        <v>5.95</v>
      </c>
    </row>
    <row r="19" spans="1:7" ht="15.75" x14ac:dyDescent="0.25">
      <c r="A19" s="79">
        <f t="shared" si="1"/>
        <v>14</v>
      </c>
      <c r="B19" s="75" t="s">
        <v>20</v>
      </c>
      <c r="C19" s="80">
        <f>31213+87199</f>
        <v>118412</v>
      </c>
      <c r="D19" s="80">
        <f>30028+92206</f>
        <v>122234</v>
      </c>
      <c r="E19" s="80">
        <v>125810</v>
      </c>
      <c r="F19" s="78">
        <f t="shared" si="2"/>
        <v>122152</v>
      </c>
      <c r="G19" s="72">
        <v>6.13</v>
      </c>
    </row>
    <row r="20" spans="1:7" ht="15.75" x14ac:dyDescent="0.25">
      <c r="A20" s="79">
        <f t="shared" si="1"/>
        <v>15</v>
      </c>
      <c r="B20" s="75" t="s">
        <v>21</v>
      </c>
      <c r="C20" s="80">
        <f>44590+58063</f>
        <v>102653</v>
      </c>
      <c r="D20" s="80">
        <f>44398+59100</f>
        <v>103498</v>
      </c>
      <c r="E20" s="80">
        <v>99417</v>
      </c>
      <c r="F20" s="78">
        <f t="shared" si="2"/>
        <v>101856</v>
      </c>
      <c r="G20" s="72">
        <v>6.19</v>
      </c>
    </row>
    <row r="21" spans="1:7" ht="31.5" x14ac:dyDescent="0.25">
      <c r="A21" s="79">
        <f t="shared" si="1"/>
        <v>16</v>
      </c>
      <c r="B21" s="75" t="s">
        <v>22</v>
      </c>
      <c r="C21" s="80">
        <f>28464+14067</f>
        <v>42531</v>
      </c>
      <c r="D21" s="80">
        <f>28086+14146</f>
        <v>42232</v>
      </c>
      <c r="E21" s="80">
        <v>42639</v>
      </c>
      <c r="F21" s="78">
        <f t="shared" si="2"/>
        <v>42467.333333333336</v>
      </c>
      <c r="G21" s="72">
        <v>6.23</v>
      </c>
    </row>
    <row r="22" spans="1:7" ht="15.75" x14ac:dyDescent="0.25">
      <c r="A22" s="79">
        <f t="shared" si="1"/>
        <v>17</v>
      </c>
      <c r="B22" s="75" t="s">
        <v>23</v>
      </c>
      <c r="C22" s="80">
        <f>163070+214620</f>
        <v>377690</v>
      </c>
      <c r="D22" s="80">
        <f>161783+241182</f>
        <v>402965</v>
      </c>
      <c r="E22" s="80">
        <v>389029</v>
      </c>
      <c r="F22" s="78">
        <f t="shared" si="2"/>
        <v>389894.66666666669</v>
      </c>
      <c r="G22" s="72">
        <v>6.03</v>
      </c>
    </row>
    <row r="23" spans="1:7" ht="15.75" x14ac:dyDescent="0.25">
      <c r="A23" s="79">
        <f t="shared" si="1"/>
        <v>18</v>
      </c>
      <c r="B23" s="75" t="s">
        <v>24</v>
      </c>
      <c r="C23" s="80">
        <f>19452+27235</f>
        <v>46687</v>
      </c>
      <c r="D23" s="80">
        <f>19212+26279</f>
        <v>45491</v>
      </c>
      <c r="E23" s="80">
        <v>41790</v>
      </c>
      <c r="F23" s="78">
        <f t="shared" si="2"/>
        <v>44656</v>
      </c>
      <c r="G23" s="72">
        <v>5.96</v>
      </c>
    </row>
    <row r="24" spans="1:7" ht="15.75" x14ac:dyDescent="0.25">
      <c r="A24" s="79">
        <f t="shared" si="1"/>
        <v>19</v>
      </c>
      <c r="B24" s="75" t="s">
        <v>25</v>
      </c>
      <c r="C24" s="80">
        <f>66119+84203</f>
        <v>150322</v>
      </c>
      <c r="D24" s="80">
        <f>66335+85449</f>
        <v>151784</v>
      </c>
      <c r="E24" s="80">
        <v>145242</v>
      </c>
      <c r="F24" s="78">
        <f t="shared" si="2"/>
        <v>149116</v>
      </c>
      <c r="G24" s="72">
        <v>6.04</v>
      </c>
    </row>
    <row r="25" spans="1:7" ht="15.75" x14ac:dyDescent="0.25">
      <c r="A25" s="79">
        <f t="shared" si="1"/>
        <v>20</v>
      </c>
      <c r="B25" s="75" t="s">
        <v>26</v>
      </c>
      <c r="C25" s="80">
        <f>26000+33515</f>
        <v>59515</v>
      </c>
      <c r="D25" s="80">
        <f>25169+32154</f>
        <v>57323</v>
      </c>
      <c r="E25" s="80">
        <v>57212</v>
      </c>
      <c r="F25" s="78">
        <f t="shared" si="2"/>
        <v>58016.666666666664</v>
      </c>
      <c r="G25" s="72">
        <v>6.22</v>
      </c>
    </row>
    <row r="26" spans="1:7" ht="15.75" x14ac:dyDescent="0.25">
      <c r="A26" s="79">
        <f t="shared" si="1"/>
        <v>21</v>
      </c>
      <c r="B26" s="75" t="s">
        <v>27</v>
      </c>
      <c r="C26" s="80">
        <f>59550+51189</f>
        <v>110739</v>
      </c>
      <c r="D26" s="80">
        <f>56525+57664</f>
        <v>114189</v>
      </c>
      <c r="E26" s="80">
        <v>107049</v>
      </c>
      <c r="F26" s="78">
        <f t="shared" si="2"/>
        <v>110659</v>
      </c>
      <c r="G26" s="72">
        <v>6.18</v>
      </c>
    </row>
    <row r="27" spans="1:7" ht="15.75" x14ac:dyDescent="0.25">
      <c r="A27" s="79">
        <f t="shared" si="1"/>
        <v>22</v>
      </c>
      <c r="B27" s="75" t="s">
        <v>28</v>
      </c>
      <c r="C27" s="80">
        <f>51063+80387</f>
        <v>131450</v>
      </c>
      <c r="D27" s="80">
        <f>51333+80058</f>
        <v>131391</v>
      </c>
      <c r="E27" s="80">
        <v>123439</v>
      </c>
      <c r="F27" s="78">
        <f t="shared" si="2"/>
        <v>128760</v>
      </c>
      <c r="G27" s="72">
        <v>6.08</v>
      </c>
    </row>
    <row r="28" spans="1:7" ht="15.75" x14ac:dyDescent="0.25">
      <c r="A28" s="79">
        <f t="shared" si="1"/>
        <v>23</v>
      </c>
      <c r="B28" s="75" t="s">
        <v>29</v>
      </c>
      <c r="C28" s="80">
        <f>107368+153773</f>
        <v>261141</v>
      </c>
      <c r="D28" s="80">
        <f>104600+154386</f>
        <v>258986</v>
      </c>
      <c r="E28" s="80">
        <v>236292</v>
      </c>
      <c r="F28" s="78">
        <f t="shared" si="2"/>
        <v>252139.66666666666</v>
      </c>
      <c r="G28" s="72">
        <v>6.09</v>
      </c>
    </row>
    <row r="29" spans="1:7" ht="15.75" x14ac:dyDescent="0.25">
      <c r="A29" s="79">
        <f t="shared" si="1"/>
        <v>24</v>
      </c>
      <c r="B29" s="75" t="s">
        <v>30</v>
      </c>
      <c r="C29" s="78">
        <f>52368+91250</f>
        <v>143618</v>
      </c>
      <c r="D29" s="78">
        <f>51923+103570</f>
        <v>155493</v>
      </c>
      <c r="E29" s="78">
        <v>129525</v>
      </c>
      <c r="F29" s="78">
        <f t="shared" si="2"/>
        <v>142878.66666666666</v>
      </c>
      <c r="G29" s="77">
        <v>6.12</v>
      </c>
    </row>
    <row r="30" spans="1:7" ht="15.75" x14ac:dyDescent="0.25">
      <c r="A30" s="79">
        <f t="shared" si="1"/>
        <v>25</v>
      </c>
      <c r="B30" s="75" t="s">
        <v>31</v>
      </c>
      <c r="C30" s="78">
        <f>14758+21652</f>
        <v>36410</v>
      </c>
      <c r="D30" s="78">
        <f>14419+21595</f>
        <v>36014</v>
      </c>
      <c r="E30" s="78">
        <v>33840</v>
      </c>
      <c r="F30" s="78">
        <f t="shared" si="2"/>
        <v>35421.333333333336</v>
      </c>
      <c r="G30" s="77">
        <v>6.18</v>
      </c>
    </row>
    <row r="31" spans="1:7" ht="15.75" x14ac:dyDescent="0.25">
      <c r="A31" s="79">
        <f t="shared" si="1"/>
        <v>26</v>
      </c>
      <c r="B31" s="75" t="s">
        <v>32</v>
      </c>
      <c r="C31" s="78">
        <f>229450+248207</f>
        <v>477657</v>
      </c>
      <c r="D31" s="78">
        <f>235049+258249</f>
        <v>493298</v>
      </c>
      <c r="E31" s="78">
        <v>487005</v>
      </c>
      <c r="F31" s="78">
        <f t="shared" si="2"/>
        <v>485986.66666666669</v>
      </c>
      <c r="G31" s="77">
        <v>6.09</v>
      </c>
    </row>
    <row r="32" spans="1:7" ht="15.75" x14ac:dyDescent="0.25">
      <c r="A32" s="79">
        <f t="shared" si="1"/>
        <v>27</v>
      </c>
      <c r="B32" s="75" t="s">
        <v>33</v>
      </c>
      <c r="C32" s="78">
        <f>133411+155867</f>
        <v>289278</v>
      </c>
      <c r="D32" s="78">
        <f>132427+149250</f>
        <v>281677</v>
      </c>
      <c r="E32" s="78">
        <v>269209</v>
      </c>
      <c r="F32" s="78">
        <f t="shared" si="2"/>
        <v>280054.66666666669</v>
      </c>
      <c r="G32" s="77">
        <v>6.11</v>
      </c>
    </row>
    <row r="33" spans="1:7" ht="15.75" x14ac:dyDescent="0.25">
      <c r="A33" s="79">
        <f t="shared" si="1"/>
        <v>28</v>
      </c>
      <c r="B33" s="75" t="s">
        <v>34</v>
      </c>
      <c r="C33" s="78">
        <f>125202+230273</f>
        <v>355475</v>
      </c>
      <c r="D33" s="78">
        <f>124364+228974</f>
        <v>353338</v>
      </c>
      <c r="E33" s="78">
        <v>293196</v>
      </c>
      <c r="F33" s="78">
        <f t="shared" si="2"/>
        <v>334003</v>
      </c>
      <c r="G33" s="77">
        <v>6.05</v>
      </c>
    </row>
    <row r="34" spans="1:7" ht="15.75" x14ac:dyDescent="0.25">
      <c r="A34" s="79">
        <f t="shared" si="1"/>
        <v>29</v>
      </c>
      <c r="B34" s="75" t="s">
        <v>35</v>
      </c>
      <c r="C34" s="78">
        <f>86803+125943</f>
        <v>212746</v>
      </c>
      <c r="D34" s="78">
        <f>87107+129598</f>
        <v>216705</v>
      </c>
      <c r="E34" s="78">
        <v>220470</v>
      </c>
      <c r="F34" s="78">
        <f t="shared" si="2"/>
        <v>216640.33333333334</v>
      </c>
      <c r="G34" s="77">
        <v>6.07</v>
      </c>
    </row>
    <row r="35" spans="1:7" ht="15.75" x14ac:dyDescent="0.25">
      <c r="A35" s="79">
        <f t="shared" si="1"/>
        <v>30</v>
      </c>
      <c r="B35" s="75" t="s">
        <v>36</v>
      </c>
      <c r="C35" s="78">
        <f>108660+125562</f>
        <v>234222</v>
      </c>
      <c r="D35" s="78">
        <f>108924+128752</f>
        <v>237676</v>
      </c>
      <c r="E35" s="78">
        <v>234259</v>
      </c>
      <c r="F35" s="78">
        <f t="shared" si="2"/>
        <v>235385.66666666666</v>
      </c>
      <c r="G35" s="77">
        <v>6.05</v>
      </c>
    </row>
    <row r="36" spans="1:7" ht="15.75" x14ac:dyDescent="0.25">
      <c r="A36" s="79">
        <f t="shared" si="1"/>
        <v>31</v>
      </c>
      <c r="B36" s="75" t="s">
        <v>37</v>
      </c>
      <c r="C36" s="78">
        <f>63413+86674</f>
        <v>150087</v>
      </c>
      <c r="D36" s="78">
        <f>62997+83986</f>
        <v>146983</v>
      </c>
      <c r="E36" s="78">
        <v>146878</v>
      </c>
      <c r="F36" s="78">
        <f t="shared" si="2"/>
        <v>147982.66666666666</v>
      </c>
      <c r="G36" s="77">
        <v>6.12</v>
      </c>
    </row>
    <row r="37" spans="1:7" ht="15.75" x14ac:dyDescent="0.25">
      <c r="A37" s="79">
        <f t="shared" si="1"/>
        <v>32</v>
      </c>
      <c r="B37" s="75" t="s">
        <v>38</v>
      </c>
      <c r="C37" s="78">
        <f>38550+66321</f>
        <v>104871</v>
      </c>
      <c r="D37" s="78">
        <f>37767+51459</f>
        <v>89226</v>
      </c>
      <c r="E37" s="78">
        <v>82491</v>
      </c>
      <c r="F37" s="78">
        <f t="shared" si="2"/>
        <v>92196</v>
      </c>
      <c r="G37" s="77">
        <v>6</v>
      </c>
    </row>
    <row r="38" spans="1:7" ht="15.75" x14ac:dyDescent="0.25">
      <c r="A38" s="79">
        <f t="shared" si="1"/>
        <v>33</v>
      </c>
      <c r="B38" s="75" t="s">
        <v>39</v>
      </c>
      <c r="C38" s="78">
        <f>50994+72692</f>
        <v>123686</v>
      </c>
      <c r="D38" s="78">
        <f>51804+70988</f>
        <v>122792</v>
      </c>
      <c r="E38" s="78">
        <v>109897</v>
      </c>
      <c r="F38" s="78">
        <f t="shared" si="2"/>
        <v>118791.66666666667</v>
      </c>
      <c r="G38" s="77">
        <v>6.04</v>
      </c>
    </row>
    <row r="39" spans="1:7" ht="15.75" x14ac:dyDescent="0.25">
      <c r="A39" s="79">
        <f t="shared" ref="A39:A70" si="3">A38+1</f>
        <v>34</v>
      </c>
      <c r="B39" s="75" t="s">
        <v>40</v>
      </c>
      <c r="C39" s="78">
        <f>44724+52426</f>
        <v>97150</v>
      </c>
      <c r="D39" s="78">
        <f>44962+53707</f>
        <v>98669</v>
      </c>
      <c r="E39" s="78">
        <v>94690</v>
      </c>
      <c r="F39" s="78">
        <f t="shared" si="2"/>
        <v>96836.333333333328</v>
      </c>
      <c r="G39" s="77">
        <v>6.01</v>
      </c>
    </row>
    <row r="40" spans="1:7" ht="15.75" x14ac:dyDescent="0.25">
      <c r="A40" s="79">
        <f t="shared" si="3"/>
        <v>35</v>
      </c>
      <c r="B40" s="75" t="s">
        <v>41</v>
      </c>
      <c r="C40" s="78">
        <f>63584+72583</f>
        <v>136167</v>
      </c>
      <c r="D40" s="78">
        <f>63561+71457</f>
        <v>135018</v>
      </c>
      <c r="E40" s="78">
        <v>131140</v>
      </c>
      <c r="F40" s="78">
        <f t="shared" si="2"/>
        <v>134108.33333333334</v>
      </c>
      <c r="G40" s="77">
        <v>5.96</v>
      </c>
    </row>
    <row r="41" spans="1:7" ht="15.75" x14ac:dyDescent="0.25">
      <c r="A41" s="79">
        <f t="shared" si="3"/>
        <v>36</v>
      </c>
      <c r="B41" s="75" t="s">
        <v>42</v>
      </c>
      <c r="C41" s="78">
        <f>53729+80095</f>
        <v>133824</v>
      </c>
      <c r="D41" s="78">
        <f>53553+80161</f>
        <v>133714</v>
      </c>
      <c r="E41" s="78">
        <v>130961</v>
      </c>
      <c r="F41" s="78">
        <f t="shared" si="2"/>
        <v>132833</v>
      </c>
      <c r="G41" s="77">
        <v>6.05</v>
      </c>
    </row>
    <row r="42" spans="1:7" ht="15.75" x14ac:dyDescent="0.25">
      <c r="A42" s="79">
        <f t="shared" si="3"/>
        <v>37</v>
      </c>
      <c r="B42" s="75" t="s">
        <v>43</v>
      </c>
      <c r="C42" s="78">
        <f>61464+80675</f>
        <v>142139</v>
      </c>
      <c r="D42" s="78">
        <f>61001+81573</f>
        <v>142574</v>
      </c>
      <c r="E42" s="78">
        <v>138679</v>
      </c>
      <c r="F42" s="78">
        <f t="shared" si="2"/>
        <v>141130.66666666666</v>
      </c>
      <c r="G42" s="77">
        <v>6</v>
      </c>
    </row>
    <row r="43" spans="1:7" ht="15.75" x14ac:dyDescent="0.25">
      <c r="A43" s="79">
        <f t="shared" si="3"/>
        <v>38</v>
      </c>
      <c r="B43" s="75" t="s">
        <v>44</v>
      </c>
      <c r="C43" s="78">
        <f>103645+137730</f>
        <v>241375</v>
      </c>
      <c r="D43" s="78">
        <f>103219+136022</f>
        <v>239241</v>
      </c>
      <c r="E43" s="78">
        <v>229102</v>
      </c>
      <c r="F43" s="78">
        <f t="shared" si="2"/>
        <v>236572.66666666666</v>
      </c>
      <c r="G43" s="77">
        <v>5.97</v>
      </c>
    </row>
    <row r="44" spans="1:7" ht="15.75" x14ac:dyDescent="0.25">
      <c r="A44" s="79">
        <f t="shared" si="3"/>
        <v>39</v>
      </c>
      <c r="B44" s="75" t="s">
        <v>45</v>
      </c>
      <c r="C44" s="78">
        <f>55064+70356</f>
        <v>125420</v>
      </c>
      <c r="D44" s="78">
        <f>53861+73027</f>
        <v>126888</v>
      </c>
      <c r="E44" s="78">
        <v>119801</v>
      </c>
      <c r="F44" s="78">
        <f t="shared" si="2"/>
        <v>124036.33333333333</v>
      </c>
      <c r="G44" s="77">
        <v>6.05</v>
      </c>
    </row>
    <row r="45" spans="1:7" ht="15.75" x14ac:dyDescent="0.25">
      <c r="A45" s="79">
        <f t="shared" si="3"/>
        <v>40</v>
      </c>
      <c r="B45" s="75" t="s">
        <v>46</v>
      </c>
      <c r="C45" s="78">
        <f>96491+169141</f>
        <v>265632</v>
      </c>
      <c r="D45" s="78">
        <f>96287+175206</f>
        <v>271493</v>
      </c>
      <c r="E45" s="78">
        <v>269595</v>
      </c>
      <c r="F45" s="78">
        <f t="shared" si="2"/>
        <v>268906.66666666669</v>
      </c>
      <c r="G45" s="77">
        <v>6.05</v>
      </c>
    </row>
    <row r="46" spans="1:7" ht="15.75" x14ac:dyDescent="0.25">
      <c r="A46" s="79">
        <f t="shared" si="3"/>
        <v>41</v>
      </c>
      <c r="B46" s="75" t="s">
        <v>47</v>
      </c>
      <c r="C46" s="78">
        <f>45121+60498</f>
        <v>105619</v>
      </c>
      <c r="D46" s="78">
        <f>44745+60054</f>
        <v>104799</v>
      </c>
      <c r="E46" s="78">
        <v>99462</v>
      </c>
      <c r="F46" s="78">
        <f t="shared" si="2"/>
        <v>103293.33333333333</v>
      </c>
      <c r="G46" s="77">
        <v>6.01</v>
      </c>
    </row>
    <row r="47" spans="1:7" ht="15.75" x14ac:dyDescent="0.25">
      <c r="A47" s="79">
        <f t="shared" si="3"/>
        <v>42</v>
      </c>
      <c r="B47" s="75" t="s">
        <v>48</v>
      </c>
      <c r="C47" s="78">
        <f>119906+166573</f>
        <v>286479</v>
      </c>
      <c r="D47" s="78">
        <f>118475+165731</f>
        <v>284206</v>
      </c>
      <c r="E47" s="78">
        <v>281742</v>
      </c>
      <c r="F47" s="78">
        <f t="shared" si="2"/>
        <v>284142.33333333331</v>
      </c>
      <c r="G47" s="77">
        <v>6.24</v>
      </c>
    </row>
    <row r="48" spans="1:7" ht="15.75" x14ac:dyDescent="0.25">
      <c r="A48" s="79">
        <f t="shared" si="3"/>
        <v>43</v>
      </c>
      <c r="B48" s="75" t="s">
        <v>49</v>
      </c>
      <c r="C48" s="78">
        <f>42149+56908</f>
        <v>99057</v>
      </c>
      <c r="D48" s="78">
        <f>42563+56790</f>
        <v>99353</v>
      </c>
      <c r="E48" s="78">
        <v>96183</v>
      </c>
      <c r="F48" s="78">
        <f t="shared" si="2"/>
        <v>98197.666666666672</v>
      </c>
      <c r="G48" s="77">
        <v>6.07</v>
      </c>
    </row>
    <row r="49" spans="1:7" ht="15.75" x14ac:dyDescent="0.25">
      <c r="A49" s="79">
        <f t="shared" si="3"/>
        <v>44</v>
      </c>
      <c r="B49" s="75" t="s">
        <v>50</v>
      </c>
      <c r="C49" s="78">
        <f>43148+61272</f>
        <v>104420</v>
      </c>
      <c r="D49" s="78">
        <f>43455+60706</f>
        <v>104161</v>
      </c>
      <c r="E49" s="78">
        <v>102955</v>
      </c>
      <c r="F49" s="78">
        <f t="shared" si="2"/>
        <v>103845.33333333333</v>
      </c>
      <c r="G49" s="77">
        <v>6.13</v>
      </c>
    </row>
    <row r="50" spans="1:7" ht="15.75" x14ac:dyDescent="0.25">
      <c r="A50" s="79">
        <f t="shared" si="3"/>
        <v>45</v>
      </c>
      <c r="B50" s="75" t="s">
        <v>51</v>
      </c>
      <c r="C50" s="78">
        <f>125089+186979</f>
        <v>312068</v>
      </c>
      <c r="D50" s="78">
        <f>121016+172162</f>
        <v>293178</v>
      </c>
      <c r="E50" s="78">
        <v>321630</v>
      </c>
      <c r="F50" s="78">
        <f t="shared" ref="F50:F81" si="4">(C50+D50+E50)/3</f>
        <v>308958.66666666669</v>
      </c>
      <c r="G50" s="77">
        <v>6.01</v>
      </c>
    </row>
    <row r="51" spans="1:7" ht="15.75" x14ac:dyDescent="0.25">
      <c r="A51" s="79">
        <f t="shared" si="3"/>
        <v>46</v>
      </c>
      <c r="B51" s="75" t="s">
        <v>52</v>
      </c>
      <c r="C51" s="78">
        <f>59459+54908</f>
        <v>114367</v>
      </c>
      <c r="D51" s="78">
        <f>57717+45673</f>
        <v>103390</v>
      </c>
      <c r="E51" s="78">
        <v>92504</v>
      </c>
      <c r="F51" s="78">
        <f t="shared" si="4"/>
        <v>103420.33333333333</v>
      </c>
      <c r="G51" s="77">
        <v>6.01</v>
      </c>
    </row>
    <row r="52" spans="1:7" ht="15.75" x14ac:dyDescent="0.25">
      <c r="A52" s="79">
        <f t="shared" si="3"/>
        <v>47</v>
      </c>
      <c r="B52" s="75" t="s">
        <v>53</v>
      </c>
      <c r="C52" s="78">
        <f>29836+40418</f>
        <v>70254</v>
      </c>
      <c r="D52" s="78">
        <f>29269+40433</f>
        <v>69702</v>
      </c>
      <c r="E52" s="78">
        <v>65748</v>
      </c>
      <c r="F52" s="78">
        <f t="shared" si="4"/>
        <v>68568</v>
      </c>
      <c r="G52" s="77">
        <v>5.96</v>
      </c>
    </row>
    <row r="53" spans="1:7" ht="15.75" x14ac:dyDescent="0.25">
      <c r="A53" s="79">
        <f t="shared" si="3"/>
        <v>48</v>
      </c>
      <c r="B53" s="75" t="s">
        <v>54</v>
      </c>
      <c r="C53" s="78">
        <f>42534+73094</f>
        <v>115628</v>
      </c>
      <c r="D53" s="78">
        <f>40776+60345</f>
        <v>101121</v>
      </c>
      <c r="E53" s="78">
        <v>99077</v>
      </c>
      <c r="F53" s="78">
        <f t="shared" si="4"/>
        <v>105275.33333333333</v>
      </c>
      <c r="G53" s="77">
        <v>5.95</v>
      </c>
    </row>
    <row r="54" spans="1:7" ht="15.75" x14ac:dyDescent="0.25">
      <c r="A54" s="79">
        <f t="shared" si="3"/>
        <v>49</v>
      </c>
      <c r="B54" s="75" t="s">
        <v>55</v>
      </c>
      <c r="C54" s="78">
        <f>49501+68847</f>
        <v>118348</v>
      </c>
      <c r="D54" s="78">
        <f>49678+67099</f>
        <v>116777</v>
      </c>
      <c r="E54" s="78">
        <v>110861</v>
      </c>
      <c r="F54" s="78">
        <f t="shared" si="4"/>
        <v>115328.66666666667</v>
      </c>
      <c r="G54" s="77">
        <v>6.04</v>
      </c>
    </row>
    <row r="55" spans="1:7" ht="15.75" x14ac:dyDescent="0.25">
      <c r="A55" s="79">
        <f t="shared" si="3"/>
        <v>50</v>
      </c>
      <c r="B55" s="75" t="s">
        <v>56</v>
      </c>
      <c r="C55" s="78">
        <f>64385+85078</f>
        <v>149463</v>
      </c>
      <c r="D55" s="78">
        <f>65283+85903</f>
        <v>151186</v>
      </c>
      <c r="E55" s="78">
        <v>144063</v>
      </c>
      <c r="F55" s="78">
        <f t="shared" si="4"/>
        <v>148237.33333333334</v>
      </c>
      <c r="G55" s="77">
        <v>6.11</v>
      </c>
    </row>
    <row r="56" spans="1:7" ht="15.75" x14ac:dyDescent="0.25">
      <c r="A56" s="79">
        <f t="shared" si="3"/>
        <v>51</v>
      </c>
      <c r="B56" s="75" t="s">
        <v>57</v>
      </c>
      <c r="C56" s="78">
        <f>48498+67511</f>
        <v>116009</v>
      </c>
      <c r="D56" s="78">
        <f>48602+66882</f>
        <v>115484</v>
      </c>
      <c r="E56" s="78">
        <v>111429</v>
      </c>
      <c r="F56" s="78">
        <f t="shared" si="4"/>
        <v>114307.33333333333</v>
      </c>
      <c r="G56" s="77">
        <v>5.98</v>
      </c>
    </row>
    <row r="57" spans="1:7" ht="15.75" x14ac:dyDescent="0.25">
      <c r="A57" s="79">
        <f t="shared" si="3"/>
        <v>52</v>
      </c>
      <c r="B57" s="75" t="s">
        <v>58</v>
      </c>
      <c r="C57" s="78">
        <f>7000+12028</f>
        <v>19028</v>
      </c>
      <c r="D57" s="78">
        <f>6725+11906</f>
        <v>18631</v>
      </c>
      <c r="E57" s="78">
        <v>17833</v>
      </c>
      <c r="F57" s="78">
        <f t="shared" si="4"/>
        <v>18497.333333333332</v>
      </c>
      <c r="G57" s="77">
        <v>6.15</v>
      </c>
    </row>
    <row r="58" spans="1:7" ht="15.75" x14ac:dyDescent="0.25">
      <c r="A58" s="79">
        <f t="shared" si="3"/>
        <v>53</v>
      </c>
      <c r="B58" s="75" t="s">
        <v>59</v>
      </c>
      <c r="C58" s="78">
        <f>299725+357573</f>
        <v>657298</v>
      </c>
      <c r="D58" s="78">
        <f>309186+385540</f>
        <v>694726</v>
      </c>
      <c r="E58" s="78">
        <v>728240</v>
      </c>
      <c r="F58" s="78">
        <f t="shared" si="4"/>
        <v>693421.33333333337</v>
      </c>
      <c r="G58" s="77">
        <v>6.04</v>
      </c>
    </row>
    <row r="59" spans="1:7" ht="15.75" x14ac:dyDescent="0.25">
      <c r="A59" s="79">
        <f t="shared" si="3"/>
        <v>54</v>
      </c>
      <c r="B59" s="75" t="s">
        <v>60</v>
      </c>
      <c r="C59" s="78">
        <f>32249+25626</f>
        <v>57875</v>
      </c>
      <c r="D59" s="78">
        <f>31876+23356</f>
        <v>55232</v>
      </c>
      <c r="E59" s="78">
        <v>52510</v>
      </c>
      <c r="F59" s="78">
        <f t="shared" si="4"/>
        <v>55205.666666666664</v>
      </c>
      <c r="G59" s="77">
        <v>5.95</v>
      </c>
    </row>
    <row r="60" spans="1:7" ht="15.75" x14ac:dyDescent="0.25">
      <c r="A60" s="79">
        <f t="shared" si="3"/>
        <v>55</v>
      </c>
      <c r="B60" s="75" t="s">
        <v>61</v>
      </c>
      <c r="C60" s="78">
        <f>142450+174300</f>
        <v>316750</v>
      </c>
      <c r="D60" s="78">
        <f>142108+175366</f>
        <v>317474</v>
      </c>
      <c r="E60" s="78">
        <v>304084</v>
      </c>
      <c r="F60" s="78">
        <f t="shared" si="4"/>
        <v>312769.33333333331</v>
      </c>
      <c r="G60" s="77">
        <v>6</v>
      </c>
    </row>
    <row r="61" spans="1:7" ht="15.75" x14ac:dyDescent="0.25">
      <c r="A61" s="79">
        <f t="shared" si="3"/>
        <v>56</v>
      </c>
      <c r="B61" s="75" t="s">
        <v>62</v>
      </c>
      <c r="C61" s="78">
        <f>29421+43170</f>
        <v>72591</v>
      </c>
      <c r="D61" s="78">
        <f>28484+43165</f>
        <v>71649</v>
      </c>
      <c r="E61" s="78">
        <v>70292</v>
      </c>
      <c r="F61" s="78">
        <f t="shared" si="4"/>
        <v>71510.666666666672</v>
      </c>
      <c r="G61" s="77">
        <v>6.01</v>
      </c>
    </row>
    <row r="62" spans="1:7" ht="15.75" x14ac:dyDescent="0.25">
      <c r="A62" s="79">
        <f t="shared" si="3"/>
        <v>57</v>
      </c>
      <c r="B62" s="75" t="s">
        <v>63</v>
      </c>
      <c r="C62" s="78">
        <f>124770+140144</f>
        <v>264914</v>
      </c>
      <c r="D62" s="78">
        <f>123696+139190</f>
        <v>262886</v>
      </c>
      <c r="E62" s="78">
        <v>252518</v>
      </c>
      <c r="F62" s="78">
        <f t="shared" si="4"/>
        <v>260106</v>
      </c>
      <c r="G62" s="77">
        <v>5.99</v>
      </c>
    </row>
    <row r="63" spans="1:7" ht="15.75" x14ac:dyDescent="0.25">
      <c r="A63" s="79">
        <f t="shared" si="3"/>
        <v>58</v>
      </c>
      <c r="B63" s="75" t="s">
        <v>64</v>
      </c>
      <c r="C63" s="78">
        <f>91251+65316</f>
        <v>156567</v>
      </c>
      <c r="D63" s="78">
        <f>90274+118756</f>
        <v>209030</v>
      </c>
      <c r="E63" s="78">
        <v>198105</v>
      </c>
      <c r="F63" s="78">
        <f t="shared" si="4"/>
        <v>187900.66666666666</v>
      </c>
      <c r="G63" s="77">
        <v>5.94</v>
      </c>
    </row>
    <row r="64" spans="1:7" ht="15.75" x14ac:dyDescent="0.25">
      <c r="A64" s="79">
        <f t="shared" si="3"/>
        <v>59</v>
      </c>
      <c r="B64" s="75" t="s">
        <v>65</v>
      </c>
      <c r="C64" s="78">
        <f>92148+108332</f>
        <v>200480</v>
      </c>
      <c r="D64" s="78">
        <f>91324+108190</f>
        <v>199514</v>
      </c>
      <c r="E64" s="78">
        <v>189771</v>
      </c>
      <c r="F64" s="78">
        <f t="shared" si="4"/>
        <v>196588.33333333334</v>
      </c>
      <c r="G64" s="77">
        <v>6</v>
      </c>
    </row>
    <row r="65" spans="1:7" ht="15.75" x14ac:dyDescent="0.25">
      <c r="A65" s="79">
        <f t="shared" si="3"/>
        <v>60</v>
      </c>
      <c r="B65" s="75" t="s">
        <v>66</v>
      </c>
      <c r="C65" s="78">
        <f>33502+111232</f>
        <v>144734</v>
      </c>
      <c r="D65" s="78">
        <f>32971+110281</f>
        <v>143252</v>
      </c>
      <c r="E65" s="78">
        <v>135681</v>
      </c>
      <c r="F65" s="78">
        <f t="shared" si="4"/>
        <v>141222.33333333334</v>
      </c>
      <c r="G65" s="77">
        <v>5.93</v>
      </c>
    </row>
    <row r="66" spans="1:7" ht="15.75" x14ac:dyDescent="0.25">
      <c r="A66" s="79">
        <f t="shared" si="3"/>
        <v>61</v>
      </c>
      <c r="B66" s="75" t="s">
        <v>67</v>
      </c>
      <c r="C66" s="78">
        <f>54019+70274</f>
        <v>124293</v>
      </c>
      <c r="D66" s="78">
        <f>53463+71033</f>
        <v>124496</v>
      </c>
      <c r="E66" s="78">
        <v>117471</v>
      </c>
      <c r="F66" s="78">
        <f t="shared" si="4"/>
        <v>122086.66666666667</v>
      </c>
      <c r="G66" s="77">
        <v>5.93</v>
      </c>
    </row>
    <row r="67" spans="1:7" ht="15.75" x14ac:dyDescent="0.25">
      <c r="A67" s="79">
        <f t="shared" si="3"/>
        <v>62</v>
      </c>
      <c r="B67" s="75" t="s">
        <v>68</v>
      </c>
      <c r="C67" s="78">
        <f>30219+46073</f>
        <v>76292</v>
      </c>
      <c r="D67" s="78">
        <f>29292+43662</f>
        <v>72954</v>
      </c>
      <c r="E67" s="78">
        <v>69314</v>
      </c>
      <c r="F67" s="78">
        <f t="shared" si="4"/>
        <v>72853.333333333328</v>
      </c>
      <c r="G67" s="77">
        <v>5.94</v>
      </c>
    </row>
    <row r="68" spans="1:7" ht="15.75" x14ac:dyDescent="0.25">
      <c r="A68" s="79">
        <f t="shared" si="3"/>
        <v>63</v>
      </c>
      <c r="B68" s="75" t="s">
        <v>69</v>
      </c>
      <c r="C68" s="78">
        <f>175037+233236</f>
        <v>408273</v>
      </c>
      <c r="D68" s="78">
        <f>176933+236170</f>
        <v>413103</v>
      </c>
      <c r="E68" s="78">
        <v>405192</v>
      </c>
      <c r="F68" s="78">
        <f t="shared" si="4"/>
        <v>408856</v>
      </c>
      <c r="G68" s="77">
        <v>6.11</v>
      </c>
    </row>
    <row r="69" spans="1:7" ht="15.75" x14ac:dyDescent="0.25">
      <c r="A69" s="79">
        <f t="shared" si="3"/>
        <v>64</v>
      </c>
      <c r="B69" s="75" t="s">
        <v>70</v>
      </c>
      <c r="C69" s="78">
        <f>47647+74759</f>
        <v>122406</v>
      </c>
      <c r="D69" s="78">
        <f>48004+69167</f>
        <v>117171</v>
      </c>
      <c r="E69" s="78">
        <v>110741</v>
      </c>
      <c r="F69" s="78">
        <f t="shared" si="4"/>
        <v>116772.66666666667</v>
      </c>
      <c r="G69" s="77">
        <v>6.07</v>
      </c>
    </row>
    <row r="70" spans="1:7" ht="15.75" x14ac:dyDescent="0.25">
      <c r="A70" s="79">
        <f t="shared" si="3"/>
        <v>65</v>
      </c>
      <c r="B70" s="75" t="s">
        <v>71</v>
      </c>
      <c r="C70" s="78">
        <f>138846+190342</f>
        <v>329188</v>
      </c>
      <c r="D70" s="78">
        <f>138731+190852</f>
        <v>329583</v>
      </c>
      <c r="E70" s="78">
        <v>318186</v>
      </c>
      <c r="F70" s="78">
        <f t="shared" si="4"/>
        <v>325652.33333333331</v>
      </c>
      <c r="G70" s="77">
        <v>6.09</v>
      </c>
    </row>
    <row r="71" spans="1:7" ht="15.75" x14ac:dyDescent="0.25">
      <c r="A71" s="79">
        <f t="shared" ref="A71:A90" si="5">A70+1</f>
        <v>66</v>
      </c>
      <c r="B71" s="75" t="s">
        <v>72</v>
      </c>
      <c r="C71" s="78">
        <f>103155+128235</f>
        <v>231390</v>
      </c>
      <c r="D71" s="78">
        <f>101833+125513</f>
        <v>227346</v>
      </c>
      <c r="E71" s="78">
        <v>217637</v>
      </c>
      <c r="F71" s="78">
        <f t="shared" si="4"/>
        <v>225457.66666666666</v>
      </c>
      <c r="G71" s="77">
        <v>6.1</v>
      </c>
    </row>
    <row r="72" spans="1:7" ht="15.75" x14ac:dyDescent="0.25">
      <c r="A72" s="79">
        <f t="shared" si="5"/>
        <v>67</v>
      </c>
      <c r="B72" s="75" t="s">
        <v>73</v>
      </c>
      <c r="C72" s="78">
        <f>22974+41255</f>
        <v>64229</v>
      </c>
      <c r="D72" s="78">
        <f>23012+43556</f>
        <v>66568</v>
      </c>
      <c r="E72" s="78">
        <v>62173</v>
      </c>
      <c r="F72" s="78">
        <f t="shared" si="4"/>
        <v>64323.333333333336</v>
      </c>
      <c r="G72" s="77">
        <v>6.11</v>
      </c>
    </row>
    <row r="73" spans="1:7" ht="15.75" x14ac:dyDescent="0.25">
      <c r="A73" s="79">
        <f t="shared" si="5"/>
        <v>68</v>
      </c>
      <c r="B73" s="75" t="s">
        <v>74</v>
      </c>
      <c r="C73" s="78">
        <f>199908+266873</f>
        <v>466781</v>
      </c>
      <c r="D73" s="78">
        <f>200337+256898</f>
        <v>457235</v>
      </c>
      <c r="E73" s="78">
        <v>407695</v>
      </c>
      <c r="F73" s="78">
        <f t="shared" si="4"/>
        <v>443903.66666666669</v>
      </c>
      <c r="G73" s="77">
        <v>6.05</v>
      </c>
    </row>
    <row r="74" spans="1:7" ht="15.75" x14ac:dyDescent="0.25">
      <c r="A74" s="79">
        <f t="shared" si="5"/>
        <v>69</v>
      </c>
      <c r="B74" s="75" t="s">
        <v>75</v>
      </c>
      <c r="C74" s="78">
        <f>42189+74793</f>
        <v>116982</v>
      </c>
      <c r="D74" s="78">
        <f>41429+74410</f>
        <v>115839</v>
      </c>
      <c r="E74" s="78">
        <v>116429</v>
      </c>
      <c r="F74" s="78">
        <f t="shared" si="4"/>
        <v>116416.66666666667</v>
      </c>
      <c r="G74" s="77">
        <v>6</v>
      </c>
    </row>
    <row r="75" spans="1:7" ht="15.75" x14ac:dyDescent="0.25">
      <c r="A75" s="79">
        <f t="shared" si="5"/>
        <v>70</v>
      </c>
      <c r="B75" s="75" t="s">
        <v>76</v>
      </c>
      <c r="C75" s="78">
        <f>42710+73453</f>
        <v>116163</v>
      </c>
      <c r="D75" s="78">
        <f>42551+71455</f>
        <v>114006</v>
      </c>
      <c r="E75" s="78">
        <v>105305</v>
      </c>
      <c r="F75" s="78">
        <f t="shared" si="4"/>
        <v>111824.66666666667</v>
      </c>
      <c r="G75" s="77">
        <v>5.97</v>
      </c>
    </row>
    <row r="76" spans="1:7" ht="15.75" x14ac:dyDescent="0.25">
      <c r="A76" s="79">
        <f t="shared" si="5"/>
        <v>71</v>
      </c>
      <c r="B76" s="75" t="s">
        <v>77</v>
      </c>
      <c r="C76" s="78">
        <f>60557+58052</f>
        <v>118609</v>
      </c>
      <c r="D76" s="78">
        <f>59141+57279</f>
        <v>116420</v>
      </c>
      <c r="E76" s="78">
        <v>135424</v>
      </c>
      <c r="F76" s="78">
        <f t="shared" si="4"/>
        <v>123484.33333333333</v>
      </c>
      <c r="G76" s="77">
        <v>5.86</v>
      </c>
    </row>
    <row r="77" spans="1:7" ht="15.75" x14ac:dyDescent="0.25">
      <c r="A77" s="79">
        <f t="shared" si="5"/>
        <v>72</v>
      </c>
      <c r="B77" s="75" t="s">
        <v>78</v>
      </c>
      <c r="C77" s="78">
        <f>46333+35142</f>
        <v>81475</v>
      </c>
      <c r="D77" s="78">
        <f>46033+50193</f>
        <v>96226</v>
      </c>
      <c r="E77" s="78">
        <v>105502</v>
      </c>
      <c r="F77" s="78">
        <f t="shared" si="4"/>
        <v>94401</v>
      </c>
      <c r="G77" s="77">
        <v>6.16</v>
      </c>
    </row>
    <row r="78" spans="1:7" ht="15.75" x14ac:dyDescent="0.25">
      <c r="A78" s="79">
        <f t="shared" si="5"/>
        <v>73</v>
      </c>
      <c r="B78" s="75" t="s">
        <v>79</v>
      </c>
      <c r="C78" s="78">
        <f>64577+85950</f>
        <v>150527</v>
      </c>
      <c r="D78" s="78">
        <f>63827+86514</f>
        <v>150341</v>
      </c>
      <c r="E78" s="78">
        <v>145447</v>
      </c>
      <c r="F78" s="78">
        <f t="shared" si="4"/>
        <v>148771.66666666666</v>
      </c>
      <c r="G78" s="77">
        <v>6.09</v>
      </c>
    </row>
    <row r="79" spans="1:7" ht="15.75" x14ac:dyDescent="0.25">
      <c r="A79" s="79">
        <f t="shared" si="5"/>
        <v>74</v>
      </c>
      <c r="B79" s="75" t="s">
        <v>80</v>
      </c>
      <c r="C79" s="78">
        <f>67513+105693</f>
        <v>173206</v>
      </c>
      <c r="D79" s="78">
        <f>68348+101780</f>
        <v>170128</v>
      </c>
      <c r="E79" s="78">
        <v>162084</v>
      </c>
      <c r="F79" s="78">
        <f t="shared" si="4"/>
        <v>168472.66666666666</v>
      </c>
      <c r="G79" s="77">
        <v>6.08</v>
      </c>
    </row>
    <row r="80" spans="1:7" ht="15.75" x14ac:dyDescent="0.25">
      <c r="A80" s="79">
        <f t="shared" si="5"/>
        <v>75</v>
      </c>
      <c r="B80" s="75" t="s">
        <v>81</v>
      </c>
      <c r="C80" s="78">
        <f>53123+106943</f>
        <v>160066</v>
      </c>
      <c r="D80" s="78">
        <f>52908+98723</f>
        <v>151631</v>
      </c>
      <c r="E80" s="78">
        <v>148171</v>
      </c>
      <c r="F80" s="78">
        <f t="shared" si="4"/>
        <v>153289.33333333334</v>
      </c>
      <c r="G80" s="77">
        <v>5.67</v>
      </c>
    </row>
    <row r="81" spans="1:7" ht="15.75" x14ac:dyDescent="0.25">
      <c r="A81" s="79">
        <f t="shared" si="5"/>
        <v>76</v>
      </c>
      <c r="B81" s="75" t="s">
        <v>82</v>
      </c>
      <c r="C81" s="78">
        <f>160929+199368</f>
        <v>360297</v>
      </c>
      <c r="D81" s="78">
        <f>159835+198076</f>
        <v>357911</v>
      </c>
      <c r="E81" s="78">
        <v>346624</v>
      </c>
      <c r="F81" s="78">
        <f t="shared" si="4"/>
        <v>354944</v>
      </c>
      <c r="G81" s="77">
        <v>6.16</v>
      </c>
    </row>
    <row r="82" spans="1:7" ht="15.75" x14ac:dyDescent="0.25">
      <c r="A82" s="79">
        <f t="shared" si="5"/>
        <v>77</v>
      </c>
      <c r="B82" s="75" t="s">
        <v>83</v>
      </c>
      <c r="C82" s="78">
        <f>56459+67687</f>
        <v>124146</v>
      </c>
      <c r="D82" s="78">
        <f>55212+67514</f>
        <v>122726</v>
      </c>
      <c r="E82" s="78">
        <v>118707</v>
      </c>
      <c r="F82" s="78">
        <f t="shared" ref="F82:F84" si="6">(C82+D82+E82)/3</f>
        <v>121859.66666666667</v>
      </c>
      <c r="G82" s="77">
        <v>5.97</v>
      </c>
    </row>
    <row r="83" spans="1:7" ht="31.5" x14ac:dyDescent="0.25">
      <c r="A83" s="79">
        <f t="shared" si="5"/>
        <v>78</v>
      </c>
      <c r="B83" s="75" t="s">
        <v>84</v>
      </c>
      <c r="C83" s="80">
        <f>424121+506666</f>
        <v>930787</v>
      </c>
      <c r="D83" s="80">
        <f>430583+487323</f>
        <v>917906</v>
      </c>
      <c r="E83" s="80">
        <v>924563</v>
      </c>
      <c r="F83" s="78">
        <f t="shared" si="6"/>
        <v>924418.66666666663</v>
      </c>
      <c r="G83" s="72">
        <v>6.05</v>
      </c>
    </row>
    <row r="84" spans="1:7" ht="31.5" x14ac:dyDescent="0.25">
      <c r="A84" s="79">
        <f t="shared" si="5"/>
        <v>79</v>
      </c>
      <c r="B84" s="75" t="s">
        <v>85</v>
      </c>
      <c r="C84" s="80">
        <f>221550+144734</f>
        <v>366284</v>
      </c>
      <c r="D84" s="80">
        <f>227095+147320</f>
        <v>374415</v>
      </c>
      <c r="E84" s="80">
        <v>371843</v>
      </c>
      <c r="F84" s="78">
        <f t="shared" si="6"/>
        <v>370847.33333333331</v>
      </c>
      <c r="G84" s="72">
        <v>5.99</v>
      </c>
    </row>
    <row r="85" spans="1:7" ht="31.5" x14ac:dyDescent="0.25">
      <c r="A85" s="79">
        <f t="shared" si="5"/>
        <v>80</v>
      </c>
      <c r="B85" s="75" t="s">
        <v>86</v>
      </c>
      <c r="C85" s="78"/>
      <c r="D85" s="78"/>
      <c r="E85" s="78">
        <v>59343</v>
      </c>
      <c r="F85" s="78">
        <v>59343</v>
      </c>
      <c r="G85" s="77">
        <v>6.42</v>
      </c>
    </row>
    <row r="86" spans="1:7" ht="15.75" x14ac:dyDescent="0.25">
      <c r="A86" s="79">
        <f t="shared" si="5"/>
        <v>81</v>
      </c>
      <c r="B86" s="75" t="s">
        <v>87</v>
      </c>
      <c r="C86" s="78">
        <f>8018+12463</f>
        <v>20481</v>
      </c>
      <c r="D86" s="78">
        <f>7963+10739</f>
        <v>18702</v>
      </c>
      <c r="E86" s="78">
        <v>18646</v>
      </c>
      <c r="F86" s="78">
        <f>(C86+D86+E86)/3</f>
        <v>19276.333333333332</v>
      </c>
      <c r="G86" s="77">
        <v>5.99</v>
      </c>
    </row>
    <row r="87" spans="1:7" ht="15.75" x14ac:dyDescent="0.25">
      <c r="A87" s="79">
        <f t="shared" si="5"/>
        <v>82</v>
      </c>
      <c r="B87" s="75" t="s">
        <v>88</v>
      </c>
      <c r="C87" s="78">
        <f>1929+2968</f>
        <v>4897</v>
      </c>
      <c r="D87" s="78">
        <v>4943</v>
      </c>
      <c r="E87" s="78">
        <v>4550</v>
      </c>
      <c r="F87" s="78">
        <f>(C87+D87+E87)/3</f>
        <v>4796.666666666667</v>
      </c>
      <c r="G87" s="77">
        <v>6.29</v>
      </c>
    </row>
    <row r="88" spans="1:7" ht="31.5" x14ac:dyDescent="0.25">
      <c r="A88" s="79">
        <f t="shared" si="5"/>
        <v>83</v>
      </c>
      <c r="B88" s="75" t="s">
        <v>89</v>
      </c>
      <c r="C88" s="78">
        <f>70732+112783</f>
        <v>183515</v>
      </c>
      <c r="D88" s="78">
        <f>69667+116212</f>
        <v>185879</v>
      </c>
      <c r="E88" s="78">
        <v>186016</v>
      </c>
      <c r="F88" s="78">
        <f>(C88+D88+E88)/3</f>
        <v>185136.66666666666</v>
      </c>
      <c r="G88" s="77">
        <v>5.9</v>
      </c>
    </row>
    <row r="89" spans="1:7" ht="15.75" x14ac:dyDescent="0.25">
      <c r="A89" s="76">
        <f t="shared" si="5"/>
        <v>84</v>
      </c>
      <c r="B89" s="102" t="s">
        <v>90</v>
      </c>
      <c r="C89" s="74">
        <f>2232+3834</f>
        <v>6066</v>
      </c>
      <c r="D89" s="74">
        <f>2193+4021</f>
        <v>6214</v>
      </c>
      <c r="E89" s="74">
        <v>5934</v>
      </c>
      <c r="F89" s="74">
        <f>(C89+D89+E89)/3</f>
        <v>6071.333333333333</v>
      </c>
      <c r="G89" s="73">
        <v>6.24</v>
      </c>
    </row>
    <row r="90" spans="1:7" ht="31.5" x14ac:dyDescent="0.25">
      <c r="A90" s="79">
        <f t="shared" si="5"/>
        <v>85</v>
      </c>
      <c r="B90" s="75" t="s">
        <v>91</v>
      </c>
      <c r="C90" s="103">
        <f>21927+54198</f>
        <v>76125</v>
      </c>
      <c r="D90" s="103">
        <f>22054+56730</f>
        <v>78784</v>
      </c>
      <c r="E90" s="103">
        <v>72151</v>
      </c>
      <c r="F90" s="103">
        <f>(C90+D90+E90)/3</f>
        <v>75686.666666666672</v>
      </c>
      <c r="G90" s="104">
        <v>5.74</v>
      </c>
    </row>
    <row r="91" spans="1:7" s="57" customFormat="1" ht="15.75" x14ac:dyDescent="0.25">
      <c r="A91" s="71"/>
      <c r="B91" s="70" t="s">
        <v>107</v>
      </c>
      <c r="C91" s="69">
        <f>SUM(C6:C90)</f>
        <v>14177417</v>
      </c>
      <c r="D91" s="69">
        <f>SUM(D6:D90)</f>
        <v>14242291</v>
      </c>
      <c r="E91" s="69">
        <f>SUM(E6:E90)</f>
        <v>14168732</v>
      </c>
      <c r="F91" s="69">
        <f>SUM(F6:F90)</f>
        <v>14411619.999999996</v>
      </c>
      <c r="G91" s="68"/>
    </row>
    <row r="92" spans="1:7" s="57" customFormat="1" ht="12.75" x14ac:dyDescent="0.2">
      <c r="A92" s="119"/>
      <c r="B92" s="119"/>
      <c r="C92" s="119"/>
      <c r="D92" s="119"/>
      <c r="E92" s="119"/>
      <c r="F92" s="119"/>
      <c r="G92" s="119"/>
    </row>
    <row r="93" spans="1:7" s="57" customFormat="1" x14ac:dyDescent="0.2">
      <c r="A93" s="60"/>
      <c r="B93" s="121"/>
      <c r="C93" s="122"/>
      <c r="D93" s="122"/>
      <c r="E93" s="122"/>
      <c r="F93" s="122"/>
      <c r="G93" s="123"/>
    </row>
    <row r="94" spans="1:7" s="61" customFormat="1" ht="20.25" x14ac:dyDescent="0.3">
      <c r="A94" s="66"/>
      <c r="B94" s="124"/>
      <c r="C94" s="124"/>
      <c r="D94" s="124"/>
      <c r="E94" s="67"/>
      <c r="F94" s="62"/>
      <c r="G94" s="63"/>
    </row>
    <row r="95" spans="1:7" s="61" customFormat="1" ht="20.25" x14ac:dyDescent="0.3">
      <c r="A95" s="66"/>
      <c r="B95" s="65"/>
      <c r="C95" s="65"/>
      <c r="D95" s="65"/>
      <c r="E95" s="64"/>
      <c r="F95" s="62"/>
      <c r="G95" s="63"/>
    </row>
    <row r="96" spans="1:7" s="57" customFormat="1" ht="15.75" x14ac:dyDescent="0.25">
      <c r="A96" s="60"/>
      <c r="B96" s="59"/>
      <c r="C96" s="58"/>
      <c r="D96" s="58"/>
      <c r="E96" s="58"/>
      <c r="F96" s="58"/>
      <c r="G96" s="58"/>
    </row>
    <row r="97" spans="1:7" ht="15.75" x14ac:dyDescent="0.25">
      <c r="B97" s="55"/>
      <c r="C97" s="54"/>
      <c r="D97" s="54"/>
      <c r="E97" s="55"/>
      <c r="F97" s="55"/>
      <c r="G97" s="56"/>
    </row>
    <row r="98" spans="1:7" x14ac:dyDescent="0.25">
      <c r="A98" s="48" t="s">
        <v>106</v>
      </c>
    </row>
    <row r="102" spans="1:7" s="52" customFormat="1" ht="18.75" x14ac:dyDescent="0.3">
      <c r="A102" s="53"/>
      <c r="B102" s="125"/>
      <c r="C102" s="125"/>
      <c r="D102" s="125"/>
      <c r="E102" s="125"/>
      <c r="F102" s="125"/>
      <c r="G102" s="125"/>
    </row>
    <row r="103" spans="1:7" x14ac:dyDescent="0.25">
      <c r="B103" s="51"/>
      <c r="C103" s="51"/>
      <c r="D103" s="51"/>
      <c r="E103" s="51"/>
      <c r="F103" s="51"/>
      <c r="G103" s="50"/>
    </row>
    <row r="104" spans="1:7" x14ac:dyDescent="0.25">
      <c r="B104" s="51"/>
      <c r="C104" s="51"/>
      <c r="D104" s="51"/>
      <c r="E104" s="51"/>
      <c r="F104" s="51"/>
      <c r="G104" s="50"/>
    </row>
    <row r="105" spans="1:7" ht="18.75" x14ac:dyDescent="0.3">
      <c r="B105" s="120"/>
      <c r="C105" s="120"/>
      <c r="D105" s="51"/>
      <c r="E105" s="51"/>
      <c r="F105" s="51"/>
      <c r="G105" s="50"/>
    </row>
    <row r="106" spans="1:7" x14ac:dyDescent="0.25">
      <c r="B106" s="51"/>
      <c r="C106" s="51"/>
      <c r="D106" s="51"/>
      <c r="E106" s="51"/>
      <c r="F106" s="51"/>
      <c r="G106" s="50"/>
    </row>
    <row r="109" spans="1:7" ht="15.75" x14ac:dyDescent="0.25">
      <c r="B109" s="49"/>
    </row>
  </sheetData>
  <autoFilter ref="A6:WUI99"/>
  <mergeCells count="11">
    <mergeCell ref="B1:G1"/>
    <mergeCell ref="A3:A5"/>
    <mergeCell ref="B3:B5"/>
    <mergeCell ref="C3:F4"/>
    <mergeCell ref="G3:G5"/>
    <mergeCell ref="A92:G92"/>
    <mergeCell ref="B105:C105"/>
    <mergeCell ref="B93:G93"/>
    <mergeCell ref="B94:D94"/>
    <mergeCell ref="B102:D102"/>
    <mergeCell ref="E102:G102"/>
  </mergeCells>
  <printOptions horizontalCentered="1"/>
  <pageMargins left="0.19685039370078741" right="0.19685039370078741" top="0.59055118110236227" bottom="0.39370078740157483" header="0.31496062992125984" footer="0.31496062992125984"/>
  <pageSetup paperSize="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view="pageBreakPreview" zoomScaleNormal="110" zoomScaleSheetLayoutView="100" workbookViewId="0">
      <selection activeCell="F13" sqref="F13"/>
    </sheetView>
  </sheetViews>
  <sheetFormatPr defaultRowHeight="15" x14ac:dyDescent="0.25"/>
  <cols>
    <col min="1" max="1" width="3.85546875" style="88" customWidth="1"/>
    <col min="2" max="2" width="42.42578125" style="87" customWidth="1"/>
    <col min="3" max="5" width="15.85546875" style="87" customWidth="1"/>
    <col min="6" max="6" width="13.28515625" customWidth="1"/>
  </cols>
  <sheetData>
    <row r="1" spans="1:6" ht="57.75" customHeight="1" x14ac:dyDescent="0.2">
      <c r="A1" s="136" t="s">
        <v>202</v>
      </c>
      <c r="B1" s="136" t="s">
        <v>114</v>
      </c>
      <c r="C1" s="139" t="s">
        <v>103</v>
      </c>
      <c r="D1" s="139"/>
      <c r="E1" s="139"/>
    </row>
    <row r="2" spans="1:6" ht="14.25" x14ac:dyDescent="0.2">
      <c r="A2" s="136"/>
      <c r="B2" s="136"/>
      <c r="C2" s="136" t="s">
        <v>4</v>
      </c>
      <c r="D2" s="139" t="s">
        <v>201</v>
      </c>
      <c r="E2" s="139"/>
    </row>
    <row r="3" spans="1:6" ht="99.75" x14ac:dyDescent="0.2">
      <c r="A3" s="137"/>
      <c r="B3" s="138"/>
      <c r="C3" s="136"/>
      <c r="D3" s="99" t="s">
        <v>200</v>
      </c>
      <c r="E3" s="99" t="s">
        <v>199</v>
      </c>
    </row>
    <row r="4" spans="1:6" ht="14.25" x14ac:dyDescent="0.2">
      <c r="A4" s="98">
        <v>1</v>
      </c>
      <c r="B4" s="98">
        <v>2</v>
      </c>
      <c r="C4" s="91">
        <v>3</v>
      </c>
      <c r="D4" s="91">
        <v>4</v>
      </c>
      <c r="E4" s="91">
        <v>5</v>
      </c>
    </row>
    <row r="5" spans="1:6" x14ac:dyDescent="0.25">
      <c r="A5" s="94">
        <v>1</v>
      </c>
      <c r="B5" s="93" t="s">
        <v>7</v>
      </c>
      <c r="C5" s="96">
        <v>1400394</v>
      </c>
      <c r="D5" s="95">
        <v>490009</v>
      </c>
      <c r="E5" s="95">
        <v>910385</v>
      </c>
      <c r="F5" s="92">
        <f t="shared" ref="F5:F36" si="0">C5-D5-E5</f>
        <v>0</v>
      </c>
    </row>
    <row r="6" spans="1:6" x14ac:dyDescent="0.25">
      <c r="A6" s="94">
        <v>2</v>
      </c>
      <c r="B6" s="93" t="s">
        <v>198</v>
      </c>
      <c r="C6" s="96">
        <v>776788</v>
      </c>
      <c r="D6" s="95">
        <v>265453</v>
      </c>
      <c r="E6" s="95">
        <v>511335</v>
      </c>
      <c r="F6" s="92">
        <f t="shared" si="0"/>
        <v>0</v>
      </c>
    </row>
    <row r="7" spans="1:6" x14ac:dyDescent="0.25">
      <c r="A7" s="94">
        <v>3</v>
      </c>
      <c r="B7" s="93" t="s">
        <v>197</v>
      </c>
      <c r="C7" s="96">
        <v>15122651</v>
      </c>
      <c r="D7" s="95">
        <v>12906935</v>
      </c>
      <c r="E7" s="95">
        <v>2215716</v>
      </c>
      <c r="F7" s="92">
        <f t="shared" si="0"/>
        <v>0</v>
      </c>
    </row>
    <row r="8" spans="1:6" x14ac:dyDescent="0.25">
      <c r="A8" s="94">
        <v>4</v>
      </c>
      <c r="B8" s="93" t="s">
        <v>196</v>
      </c>
      <c r="C8" s="96">
        <v>3265253</v>
      </c>
      <c r="D8" s="95">
        <v>2489800</v>
      </c>
      <c r="E8" s="95">
        <v>775453</v>
      </c>
      <c r="F8" s="92">
        <f t="shared" si="0"/>
        <v>0</v>
      </c>
    </row>
    <row r="9" spans="1:6" x14ac:dyDescent="0.25">
      <c r="A9" s="94">
        <v>5</v>
      </c>
      <c r="B9" s="93" t="s">
        <v>195</v>
      </c>
      <c r="C9" s="96">
        <v>6208617</v>
      </c>
      <c r="D9" s="95">
        <v>1035606</v>
      </c>
      <c r="E9" s="95">
        <v>5173011</v>
      </c>
      <c r="F9" s="92">
        <f t="shared" si="0"/>
        <v>0</v>
      </c>
    </row>
    <row r="10" spans="1:6" x14ac:dyDescent="0.25">
      <c r="A10" s="94">
        <v>6</v>
      </c>
      <c r="B10" s="93" t="s">
        <v>194</v>
      </c>
      <c r="C10" s="96">
        <v>710674</v>
      </c>
      <c r="D10" s="95">
        <v>176691</v>
      </c>
      <c r="E10" s="95">
        <v>533983</v>
      </c>
      <c r="F10" s="92">
        <f t="shared" si="0"/>
        <v>0</v>
      </c>
    </row>
    <row r="11" spans="1:6" x14ac:dyDescent="0.25">
      <c r="A11" s="94">
        <v>7</v>
      </c>
      <c r="B11" s="93" t="s">
        <v>193</v>
      </c>
      <c r="C11" s="96">
        <v>3348374</v>
      </c>
      <c r="D11" s="95">
        <v>419271</v>
      </c>
      <c r="E11" s="95">
        <v>2929103</v>
      </c>
      <c r="F11" s="92">
        <f t="shared" si="0"/>
        <v>0</v>
      </c>
    </row>
    <row r="12" spans="1:6" x14ac:dyDescent="0.25">
      <c r="A12" s="94">
        <v>8</v>
      </c>
      <c r="B12" s="93" t="s">
        <v>192</v>
      </c>
      <c r="C12" s="96">
        <v>872922</v>
      </c>
      <c r="D12" s="95">
        <v>826210</v>
      </c>
      <c r="E12" s="95">
        <v>46712</v>
      </c>
      <c r="F12" s="92">
        <f t="shared" si="0"/>
        <v>0</v>
      </c>
    </row>
    <row r="13" spans="1:6" x14ac:dyDescent="0.25">
      <c r="A13" s="94">
        <v>9</v>
      </c>
      <c r="B13" s="93" t="s">
        <v>191</v>
      </c>
      <c r="C13" s="96">
        <v>1175146</v>
      </c>
      <c r="D13" s="95">
        <v>418478</v>
      </c>
      <c r="E13" s="95">
        <v>756668</v>
      </c>
      <c r="F13" s="92">
        <f t="shared" si="0"/>
        <v>0</v>
      </c>
    </row>
    <row r="14" spans="1:6" x14ac:dyDescent="0.25">
      <c r="A14" s="94">
        <v>10</v>
      </c>
      <c r="B14" s="93" t="s">
        <v>190</v>
      </c>
      <c r="C14" s="96">
        <v>2705685</v>
      </c>
      <c r="D14" s="95">
        <v>1802600</v>
      </c>
      <c r="E14" s="95">
        <v>903085</v>
      </c>
      <c r="F14" s="92">
        <f t="shared" si="0"/>
        <v>0</v>
      </c>
    </row>
    <row r="15" spans="1:6" x14ac:dyDescent="0.25">
      <c r="A15" s="94">
        <v>11</v>
      </c>
      <c r="B15" s="93" t="s">
        <v>189</v>
      </c>
      <c r="C15" s="96">
        <v>3516074</v>
      </c>
      <c r="D15" s="95">
        <v>1077585</v>
      </c>
      <c r="E15" s="95">
        <v>2438489</v>
      </c>
      <c r="F15" s="92">
        <f t="shared" si="0"/>
        <v>0</v>
      </c>
    </row>
    <row r="16" spans="1:6" x14ac:dyDescent="0.25">
      <c r="A16" s="94">
        <v>12</v>
      </c>
      <c r="B16" s="93" t="s">
        <v>18</v>
      </c>
      <c r="C16" s="96">
        <v>5111525</v>
      </c>
      <c r="D16" s="95">
        <v>377340</v>
      </c>
      <c r="E16" s="95">
        <v>4734185</v>
      </c>
      <c r="F16" s="92">
        <f t="shared" si="0"/>
        <v>0</v>
      </c>
    </row>
    <row r="17" spans="1:6" x14ac:dyDescent="0.25">
      <c r="A17" s="94">
        <v>13</v>
      </c>
      <c r="B17" s="93" t="s">
        <v>188</v>
      </c>
      <c r="C17" s="96">
        <v>2535259</v>
      </c>
      <c r="D17" s="95">
        <v>1465364</v>
      </c>
      <c r="E17" s="95">
        <v>1069895</v>
      </c>
      <c r="F17" s="92">
        <f t="shared" si="0"/>
        <v>0</v>
      </c>
    </row>
    <row r="18" spans="1:6" x14ac:dyDescent="0.25">
      <c r="A18" s="94">
        <v>14</v>
      </c>
      <c r="B18" s="93" t="s">
        <v>187</v>
      </c>
      <c r="C18" s="96">
        <v>4127000</v>
      </c>
      <c r="D18" s="95">
        <v>3026648</v>
      </c>
      <c r="E18" s="95">
        <v>1100352</v>
      </c>
      <c r="F18" s="92">
        <f t="shared" si="0"/>
        <v>0</v>
      </c>
    </row>
    <row r="19" spans="1:6" x14ac:dyDescent="0.25">
      <c r="A19" s="94">
        <v>15</v>
      </c>
      <c r="B19" s="93" t="s">
        <v>21</v>
      </c>
      <c r="C19" s="96">
        <v>2907002</v>
      </c>
      <c r="D19" s="95">
        <v>2159966</v>
      </c>
      <c r="E19" s="95">
        <v>747036</v>
      </c>
      <c r="F19" s="92">
        <f t="shared" si="0"/>
        <v>0</v>
      </c>
    </row>
    <row r="20" spans="1:6" x14ac:dyDescent="0.25">
      <c r="A20" s="94">
        <v>16</v>
      </c>
      <c r="B20" s="93" t="s">
        <v>186</v>
      </c>
      <c r="C20" s="96">
        <v>1976477</v>
      </c>
      <c r="D20" s="95">
        <v>691233</v>
      </c>
      <c r="E20" s="95">
        <v>1285244</v>
      </c>
      <c r="F20" s="92">
        <f t="shared" si="0"/>
        <v>0</v>
      </c>
    </row>
    <row r="21" spans="1:6" x14ac:dyDescent="0.25">
      <c r="A21" s="94">
        <v>17</v>
      </c>
      <c r="B21" s="93" t="s">
        <v>185</v>
      </c>
      <c r="C21" s="96">
        <v>12889431</v>
      </c>
      <c r="D21" s="95">
        <v>12889431</v>
      </c>
      <c r="E21" s="95">
        <v>0</v>
      </c>
      <c r="F21" s="92">
        <f t="shared" si="0"/>
        <v>0</v>
      </c>
    </row>
    <row r="22" spans="1:6" x14ac:dyDescent="0.25">
      <c r="A22" s="94">
        <v>18</v>
      </c>
      <c r="B22" s="93" t="s">
        <v>184</v>
      </c>
      <c r="C22" s="96">
        <v>1051715</v>
      </c>
      <c r="D22" s="95">
        <v>581249</v>
      </c>
      <c r="E22" s="95">
        <v>470466</v>
      </c>
      <c r="F22" s="92">
        <f t="shared" si="0"/>
        <v>0</v>
      </c>
    </row>
    <row r="23" spans="1:6" x14ac:dyDescent="0.25">
      <c r="A23" s="94">
        <v>19</v>
      </c>
      <c r="B23" s="93" t="s">
        <v>183</v>
      </c>
      <c r="C23" s="96">
        <v>6218275</v>
      </c>
      <c r="D23" s="95">
        <v>4634809</v>
      </c>
      <c r="E23" s="95">
        <v>1583466</v>
      </c>
      <c r="F23" s="92">
        <f t="shared" si="0"/>
        <v>0</v>
      </c>
    </row>
    <row r="24" spans="1:6" x14ac:dyDescent="0.25">
      <c r="A24" s="94">
        <v>20</v>
      </c>
      <c r="B24" s="93" t="s">
        <v>182</v>
      </c>
      <c r="C24" s="96">
        <v>1739937</v>
      </c>
      <c r="D24" s="95">
        <v>471999</v>
      </c>
      <c r="E24" s="95">
        <v>1267938</v>
      </c>
      <c r="F24" s="92">
        <f t="shared" si="0"/>
        <v>0</v>
      </c>
    </row>
    <row r="25" spans="1:6" x14ac:dyDescent="0.25">
      <c r="A25" s="94">
        <v>21</v>
      </c>
      <c r="B25" s="93" t="s">
        <v>181</v>
      </c>
      <c r="C25" s="96">
        <v>2685544</v>
      </c>
      <c r="D25" s="95">
        <v>1217118</v>
      </c>
      <c r="E25" s="95">
        <v>1468426</v>
      </c>
      <c r="F25" s="92">
        <f t="shared" si="0"/>
        <v>0</v>
      </c>
    </row>
    <row r="26" spans="1:6" x14ac:dyDescent="0.25">
      <c r="A26" s="94">
        <v>22</v>
      </c>
      <c r="B26" s="93" t="s">
        <v>180</v>
      </c>
      <c r="C26" s="96">
        <v>4841419</v>
      </c>
      <c r="D26" s="95">
        <v>4841419</v>
      </c>
      <c r="E26" s="95">
        <v>0</v>
      </c>
      <c r="F26" s="92">
        <f t="shared" si="0"/>
        <v>0</v>
      </c>
    </row>
    <row r="27" spans="1:6" x14ac:dyDescent="0.25">
      <c r="A27" s="94">
        <v>23</v>
      </c>
      <c r="B27" s="93" t="s">
        <v>179</v>
      </c>
      <c r="C27" s="96">
        <v>10520678</v>
      </c>
      <c r="D27" s="95">
        <v>8269525</v>
      </c>
      <c r="E27" s="95">
        <v>2251153</v>
      </c>
      <c r="F27" s="92">
        <f t="shared" si="0"/>
        <v>0</v>
      </c>
    </row>
    <row r="28" spans="1:6" x14ac:dyDescent="0.25">
      <c r="A28" s="94">
        <v>24</v>
      </c>
      <c r="B28" s="93" t="s">
        <v>178</v>
      </c>
      <c r="C28" s="96">
        <v>4571334</v>
      </c>
      <c r="D28" s="95">
        <v>2588320</v>
      </c>
      <c r="E28" s="95">
        <v>1983014</v>
      </c>
      <c r="F28" s="92">
        <f t="shared" si="0"/>
        <v>0</v>
      </c>
    </row>
    <row r="29" spans="1:6" x14ac:dyDescent="0.25">
      <c r="A29" s="94">
        <v>25</v>
      </c>
      <c r="B29" s="93" t="s">
        <v>177</v>
      </c>
      <c r="C29" s="96">
        <v>1256698</v>
      </c>
      <c r="D29" s="95">
        <v>377492</v>
      </c>
      <c r="E29" s="95">
        <v>879206</v>
      </c>
      <c r="F29" s="92">
        <f t="shared" si="0"/>
        <v>0</v>
      </c>
    </row>
    <row r="30" spans="1:6" x14ac:dyDescent="0.25">
      <c r="A30" s="94">
        <v>26</v>
      </c>
      <c r="B30" s="93" t="s">
        <v>176</v>
      </c>
      <c r="C30" s="96">
        <v>16843339</v>
      </c>
      <c r="D30" s="95">
        <v>5921885</v>
      </c>
      <c r="E30" s="95">
        <v>10921454</v>
      </c>
      <c r="F30" s="92">
        <f t="shared" si="0"/>
        <v>0</v>
      </c>
    </row>
    <row r="31" spans="1:6" x14ac:dyDescent="0.25">
      <c r="A31" s="94">
        <v>27</v>
      </c>
      <c r="B31" s="93" t="s">
        <v>175</v>
      </c>
      <c r="C31" s="96">
        <v>10190890</v>
      </c>
      <c r="D31" s="95">
        <v>2591131</v>
      </c>
      <c r="E31" s="95">
        <v>7599759</v>
      </c>
      <c r="F31" s="92">
        <f t="shared" si="0"/>
        <v>0</v>
      </c>
    </row>
    <row r="32" spans="1:6" x14ac:dyDescent="0.25">
      <c r="A32" s="94">
        <v>28</v>
      </c>
      <c r="B32" s="93" t="s">
        <v>174</v>
      </c>
      <c r="C32" s="96">
        <v>11573103</v>
      </c>
      <c r="D32" s="95">
        <v>11573103</v>
      </c>
      <c r="E32" s="95">
        <v>0</v>
      </c>
      <c r="F32" s="92">
        <f t="shared" si="0"/>
        <v>0</v>
      </c>
    </row>
    <row r="33" spans="1:6" x14ac:dyDescent="0.25">
      <c r="A33" s="94">
        <v>29</v>
      </c>
      <c r="B33" s="93" t="s">
        <v>173</v>
      </c>
      <c r="C33" s="96">
        <v>6746386</v>
      </c>
      <c r="D33" s="95">
        <v>5215459</v>
      </c>
      <c r="E33" s="95">
        <v>1530927</v>
      </c>
      <c r="F33" s="92">
        <f t="shared" si="0"/>
        <v>0</v>
      </c>
    </row>
    <row r="34" spans="1:6" x14ac:dyDescent="0.25">
      <c r="A34" s="94">
        <v>30</v>
      </c>
      <c r="B34" s="93" t="s">
        <v>172</v>
      </c>
      <c r="C34" s="96">
        <v>7773610</v>
      </c>
      <c r="D34" s="95">
        <v>2861040</v>
      </c>
      <c r="E34" s="95">
        <v>4912570</v>
      </c>
      <c r="F34" s="92">
        <f t="shared" si="0"/>
        <v>0</v>
      </c>
    </row>
    <row r="35" spans="1:6" x14ac:dyDescent="0.25">
      <c r="A35" s="94">
        <v>31</v>
      </c>
      <c r="B35" s="93" t="s">
        <v>171</v>
      </c>
      <c r="C35" s="96">
        <v>4679038</v>
      </c>
      <c r="D35" s="95">
        <v>2519276</v>
      </c>
      <c r="E35" s="95">
        <v>2159762</v>
      </c>
      <c r="F35" s="92">
        <f t="shared" si="0"/>
        <v>0</v>
      </c>
    </row>
    <row r="36" spans="1:6" x14ac:dyDescent="0.25">
      <c r="A36" s="94">
        <v>32</v>
      </c>
      <c r="B36" s="93" t="s">
        <v>170</v>
      </c>
      <c r="C36" s="96">
        <v>4034281</v>
      </c>
      <c r="D36" s="95">
        <v>2813035</v>
      </c>
      <c r="E36" s="95">
        <v>1221246</v>
      </c>
      <c r="F36" s="92">
        <f t="shared" si="0"/>
        <v>0</v>
      </c>
    </row>
    <row r="37" spans="1:6" x14ac:dyDescent="0.25">
      <c r="A37" s="94">
        <v>33</v>
      </c>
      <c r="B37" s="93" t="s">
        <v>169</v>
      </c>
      <c r="C37" s="96">
        <v>5508638</v>
      </c>
      <c r="D37" s="95">
        <v>2133247</v>
      </c>
      <c r="E37" s="95">
        <v>3375391</v>
      </c>
      <c r="F37" s="92">
        <f t="shared" ref="F37:F68" si="1">C37-D37-E37</f>
        <v>0</v>
      </c>
    </row>
    <row r="38" spans="1:6" x14ac:dyDescent="0.25">
      <c r="A38" s="94">
        <v>34</v>
      </c>
      <c r="B38" s="93" t="s">
        <v>168</v>
      </c>
      <c r="C38" s="96">
        <v>3601640</v>
      </c>
      <c r="D38" s="95">
        <v>3601640</v>
      </c>
      <c r="E38" s="95">
        <v>0</v>
      </c>
      <c r="F38" s="92">
        <f t="shared" si="1"/>
        <v>0</v>
      </c>
    </row>
    <row r="39" spans="1:6" x14ac:dyDescent="0.25">
      <c r="A39" s="94">
        <v>35</v>
      </c>
      <c r="B39" s="93" t="s">
        <v>167</v>
      </c>
      <c r="C39" s="96">
        <v>4637885</v>
      </c>
      <c r="D39" s="95">
        <v>1206925</v>
      </c>
      <c r="E39" s="95">
        <v>3430960</v>
      </c>
      <c r="F39" s="92">
        <f t="shared" si="1"/>
        <v>0</v>
      </c>
    </row>
    <row r="40" spans="1:6" x14ac:dyDescent="0.25">
      <c r="A40" s="94">
        <v>36</v>
      </c>
      <c r="B40" s="93" t="s">
        <v>166</v>
      </c>
      <c r="C40" s="96">
        <v>6838948</v>
      </c>
      <c r="D40" s="95">
        <v>2261594</v>
      </c>
      <c r="E40" s="95">
        <v>4577354</v>
      </c>
      <c r="F40" s="92">
        <f t="shared" si="1"/>
        <v>0</v>
      </c>
    </row>
    <row r="41" spans="1:6" x14ac:dyDescent="0.25">
      <c r="A41" s="94">
        <v>37</v>
      </c>
      <c r="B41" s="93" t="s">
        <v>165</v>
      </c>
      <c r="C41" s="96">
        <v>5890323</v>
      </c>
      <c r="D41" s="95">
        <v>2119966</v>
      </c>
      <c r="E41" s="95">
        <v>3770357</v>
      </c>
      <c r="F41" s="92">
        <f t="shared" si="1"/>
        <v>0</v>
      </c>
    </row>
    <row r="42" spans="1:6" x14ac:dyDescent="0.25">
      <c r="A42" s="94">
        <v>38</v>
      </c>
      <c r="B42" s="93" t="s">
        <v>164</v>
      </c>
      <c r="C42" s="96">
        <v>8651815</v>
      </c>
      <c r="D42" s="95">
        <v>1334232</v>
      </c>
      <c r="E42" s="95">
        <v>7317583</v>
      </c>
      <c r="F42" s="92">
        <f t="shared" si="1"/>
        <v>0</v>
      </c>
    </row>
    <row r="43" spans="1:6" x14ac:dyDescent="0.25">
      <c r="A43" s="94">
        <v>39</v>
      </c>
      <c r="B43" s="93" t="s">
        <v>163</v>
      </c>
      <c r="C43" s="96">
        <v>5921825</v>
      </c>
      <c r="D43" s="95">
        <v>4668660</v>
      </c>
      <c r="E43" s="95">
        <v>1253165</v>
      </c>
      <c r="F43" s="92">
        <f t="shared" si="1"/>
        <v>0</v>
      </c>
    </row>
    <row r="44" spans="1:6" x14ac:dyDescent="0.25">
      <c r="A44" s="94">
        <v>40</v>
      </c>
      <c r="B44" s="93" t="s">
        <v>162</v>
      </c>
      <c r="C44" s="96">
        <v>9336330</v>
      </c>
      <c r="D44" s="95">
        <v>1980810</v>
      </c>
      <c r="E44" s="95">
        <v>7355520</v>
      </c>
      <c r="F44" s="92">
        <f t="shared" si="1"/>
        <v>0</v>
      </c>
    </row>
    <row r="45" spans="1:6" x14ac:dyDescent="0.25">
      <c r="A45" s="94">
        <v>41</v>
      </c>
      <c r="B45" s="93" t="s">
        <v>161</v>
      </c>
      <c r="C45" s="96">
        <v>4924704</v>
      </c>
      <c r="D45" s="95">
        <v>2279365</v>
      </c>
      <c r="E45" s="95">
        <v>2645339</v>
      </c>
      <c r="F45" s="92">
        <f t="shared" si="1"/>
        <v>0</v>
      </c>
    </row>
    <row r="46" spans="1:6" x14ac:dyDescent="0.25">
      <c r="A46" s="94">
        <v>42</v>
      </c>
      <c r="B46" s="93" t="s">
        <v>160</v>
      </c>
      <c r="C46" s="96">
        <v>8380109</v>
      </c>
      <c r="D46" s="95">
        <v>6223373</v>
      </c>
      <c r="E46" s="95">
        <v>2156736</v>
      </c>
      <c r="F46" s="92">
        <f t="shared" si="1"/>
        <v>0</v>
      </c>
    </row>
    <row r="47" spans="1:6" x14ac:dyDescent="0.25">
      <c r="A47" s="94">
        <v>43</v>
      </c>
      <c r="B47" s="93" t="s">
        <v>159</v>
      </c>
      <c r="C47" s="96">
        <v>2414202</v>
      </c>
      <c r="D47" s="95">
        <v>461366</v>
      </c>
      <c r="E47" s="95">
        <v>1952836</v>
      </c>
      <c r="F47" s="92">
        <f t="shared" si="1"/>
        <v>0</v>
      </c>
    </row>
    <row r="48" spans="1:6" x14ac:dyDescent="0.25">
      <c r="A48" s="94">
        <v>44</v>
      </c>
      <c r="B48" s="93" t="s">
        <v>158</v>
      </c>
      <c r="C48" s="96">
        <v>4135689</v>
      </c>
      <c r="D48" s="95">
        <v>1624340</v>
      </c>
      <c r="E48" s="95">
        <v>2511349</v>
      </c>
      <c r="F48" s="92">
        <f t="shared" si="1"/>
        <v>0</v>
      </c>
    </row>
    <row r="49" spans="1:6" x14ac:dyDescent="0.25">
      <c r="A49" s="94">
        <v>45</v>
      </c>
      <c r="B49" s="97" t="s">
        <v>157</v>
      </c>
      <c r="C49" s="96">
        <v>10332730</v>
      </c>
      <c r="D49" s="95">
        <v>2037524</v>
      </c>
      <c r="E49" s="95">
        <v>8295206</v>
      </c>
      <c r="F49" s="92">
        <f t="shared" si="1"/>
        <v>0</v>
      </c>
    </row>
    <row r="50" spans="1:6" x14ac:dyDescent="0.25">
      <c r="A50" s="94">
        <v>46</v>
      </c>
      <c r="B50" s="93" t="s">
        <v>156</v>
      </c>
      <c r="C50" s="96">
        <v>9047727</v>
      </c>
      <c r="D50" s="95">
        <v>6176192</v>
      </c>
      <c r="E50" s="95">
        <v>2871535</v>
      </c>
      <c r="F50" s="92">
        <f t="shared" si="1"/>
        <v>0</v>
      </c>
    </row>
    <row r="51" spans="1:6" x14ac:dyDescent="0.25">
      <c r="A51" s="94">
        <v>47</v>
      </c>
      <c r="B51" s="93" t="s">
        <v>155</v>
      </c>
      <c r="C51" s="96">
        <v>3850629</v>
      </c>
      <c r="D51" s="95">
        <v>2513046</v>
      </c>
      <c r="E51" s="95">
        <v>1337583</v>
      </c>
      <c r="F51" s="92">
        <f t="shared" si="1"/>
        <v>0</v>
      </c>
    </row>
    <row r="52" spans="1:6" x14ac:dyDescent="0.25">
      <c r="A52" s="94">
        <v>48</v>
      </c>
      <c r="B52" s="93" t="s">
        <v>154</v>
      </c>
      <c r="C52" s="96">
        <v>5079127</v>
      </c>
      <c r="D52" s="95">
        <v>4069308</v>
      </c>
      <c r="E52" s="95">
        <v>1009819</v>
      </c>
      <c r="F52" s="92">
        <f t="shared" si="1"/>
        <v>0</v>
      </c>
    </row>
    <row r="53" spans="1:6" x14ac:dyDescent="0.25">
      <c r="A53" s="94">
        <v>49</v>
      </c>
      <c r="B53" s="93" t="s">
        <v>153</v>
      </c>
      <c r="C53" s="96">
        <v>5565575</v>
      </c>
      <c r="D53" s="95">
        <v>2045946</v>
      </c>
      <c r="E53" s="95">
        <v>3519629</v>
      </c>
      <c r="F53" s="92">
        <f t="shared" si="1"/>
        <v>0</v>
      </c>
    </row>
    <row r="54" spans="1:6" x14ac:dyDescent="0.25">
      <c r="A54" s="94">
        <v>50</v>
      </c>
      <c r="B54" s="93" t="s">
        <v>152</v>
      </c>
      <c r="C54" s="96">
        <v>5110966</v>
      </c>
      <c r="D54" s="95">
        <v>3056179</v>
      </c>
      <c r="E54" s="95">
        <v>2054787</v>
      </c>
      <c r="F54" s="92">
        <f t="shared" si="1"/>
        <v>0</v>
      </c>
    </row>
    <row r="55" spans="1:6" x14ac:dyDescent="0.25">
      <c r="A55" s="94">
        <v>51</v>
      </c>
      <c r="B55" s="93" t="s">
        <v>151</v>
      </c>
      <c r="C55" s="96">
        <v>5029535</v>
      </c>
      <c r="D55" s="95">
        <v>1030804</v>
      </c>
      <c r="E55" s="95">
        <v>3998731</v>
      </c>
      <c r="F55" s="92">
        <f t="shared" si="1"/>
        <v>0</v>
      </c>
    </row>
    <row r="56" spans="1:6" x14ac:dyDescent="0.25">
      <c r="A56" s="94">
        <v>52</v>
      </c>
      <c r="B56" s="93" t="s">
        <v>150</v>
      </c>
      <c r="C56" s="96">
        <v>887212</v>
      </c>
      <c r="D56" s="95">
        <v>758635</v>
      </c>
      <c r="E56" s="95">
        <v>128577</v>
      </c>
      <c r="F56" s="92">
        <f t="shared" si="1"/>
        <v>0</v>
      </c>
    </row>
    <row r="57" spans="1:6" x14ac:dyDescent="0.25">
      <c r="A57" s="94">
        <v>53</v>
      </c>
      <c r="B57" s="93" t="s">
        <v>149</v>
      </c>
      <c r="C57" s="96">
        <v>22054224</v>
      </c>
      <c r="D57" s="95">
        <v>22054224</v>
      </c>
      <c r="E57" s="95">
        <v>0</v>
      </c>
      <c r="F57" s="92">
        <f t="shared" si="1"/>
        <v>0</v>
      </c>
    </row>
    <row r="58" spans="1:6" x14ac:dyDescent="0.25">
      <c r="A58" s="94">
        <v>54</v>
      </c>
      <c r="B58" s="93" t="s">
        <v>148</v>
      </c>
      <c r="C58" s="96">
        <v>2622046</v>
      </c>
      <c r="D58" s="95">
        <v>1100698</v>
      </c>
      <c r="E58" s="95">
        <v>1521348</v>
      </c>
      <c r="F58" s="92">
        <f t="shared" si="1"/>
        <v>0</v>
      </c>
    </row>
    <row r="59" spans="1:6" x14ac:dyDescent="0.25">
      <c r="A59" s="94">
        <v>55</v>
      </c>
      <c r="B59" s="93" t="s">
        <v>147</v>
      </c>
      <c r="C59" s="96">
        <v>13662245</v>
      </c>
      <c r="D59" s="95">
        <v>5729323</v>
      </c>
      <c r="E59" s="95">
        <v>7932922</v>
      </c>
      <c r="F59" s="92">
        <f t="shared" si="1"/>
        <v>0</v>
      </c>
    </row>
    <row r="60" spans="1:6" x14ac:dyDescent="0.25">
      <c r="A60" s="94">
        <v>56</v>
      </c>
      <c r="B60" s="93" t="s">
        <v>146</v>
      </c>
      <c r="C60" s="96">
        <v>3067267</v>
      </c>
      <c r="D60" s="95">
        <v>1492990</v>
      </c>
      <c r="E60" s="95">
        <v>1574277</v>
      </c>
      <c r="F60" s="92">
        <f t="shared" si="1"/>
        <v>0</v>
      </c>
    </row>
    <row r="61" spans="1:6" x14ac:dyDescent="0.25">
      <c r="A61" s="94">
        <v>57</v>
      </c>
      <c r="B61" s="93" t="s">
        <v>145</v>
      </c>
      <c r="C61" s="96">
        <v>10018194</v>
      </c>
      <c r="D61" s="95">
        <v>2816416</v>
      </c>
      <c r="E61" s="95">
        <v>7201778</v>
      </c>
      <c r="F61" s="92">
        <f t="shared" si="1"/>
        <v>0</v>
      </c>
    </row>
    <row r="62" spans="1:6" x14ac:dyDescent="0.25">
      <c r="A62" s="94">
        <v>58</v>
      </c>
      <c r="B62" s="93" t="s">
        <v>144</v>
      </c>
      <c r="C62" s="96">
        <v>7429326</v>
      </c>
      <c r="D62" s="95">
        <v>6619490</v>
      </c>
      <c r="E62" s="95">
        <v>809836</v>
      </c>
      <c r="F62" s="92">
        <f t="shared" si="1"/>
        <v>0</v>
      </c>
    </row>
    <row r="63" spans="1:6" x14ac:dyDescent="0.25">
      <c r="A63" s="94">
        <v>59</v>
      </c>
      <c r="B63" s="93" t="s">
        <v>143</v>
      </c>
      <c r="C63" s="96">
        <v>8282559</v>
      </c>
      <c r="D63" s="95">
        <v>7468720</v>
      </c>
      <c r="E63" s="95">
        <v>813839</v>
      </c>
      <c r="F63" s="92">
        <f t="shared" si="1"/>
        <v>0</v>
      </c>
    </row>
    <row r="64" spans="1:6" x14ac:dyDescent="0.25">
      <c r="A64" s="94">
        <v>60</v>
      </c>
      <c r="B64" s="93" t="s">
        <v>142</v>
      </c>
      <c r="C64" s="96">
        <v>6918800</v>
      </c>
      <c r="D64" s="95">
        <v>2015314</v>
      </c>
      <c r="E64" s="95">
        <v>4903486</v>
      </c>
      <c r="F64" s="92">
        <f t="shared" si="1"/>
        <v>0</v>
      </c>
    </row>
    <row r="65" spans="1:6" x14ac:dyDescent="0.25">
      <c r="A65" s="94">
        <v>61</v>
      </c>
      <c r="B65" s="97" t="s">
        <v>141</v>
      </c>
      <c r="C65" s="96">
        <v>6564427</v>
      </c>
      <c r="D65" s="95">
        <v>3516678</v>
      </c>
      <c r="E65" s="95">
        <v>3047749</v>
      </c>
      <c r="F65" s="92">
        <f t="shared" si="1"/>
        <v>0</v>
      </c>
    </row>
    <row r="66" spans="1:6" x14ac:dyDescent="0.25">
      <c r="A66" s="94">
        <v>62</v>
      </c>
      <c r="B66" s="93" t="s">
        <v>140</v>
      </c>
      <c r="C66" s="96">
        <v>3938063</v>
      </c>
      <c r="D66" s="95">
        <v>1049614</v>
      </c>
      <c r="E66" s="95">
        <v>2888449</v>
      </c>
      <c r="F66" s="92">
        <f t="shared" si="1"/>
        <v>0</v>
      </c>
    </row>
    <row r="67" spans="1:6" x14ac:dyDescent="0.25">
      <c r="A67" s="94">
        <v>63</v>
      </c>
      <c r="B67" s="93" t="s">
        <v>139</v>
      </c>
      <c r="C67" s="96">
        <v>14032321</v>
      </c>
      <c r="D67" s="95">
        <v>12222096</v>
      </c>
      <c r="E67" s="95">
        <v>1810225</v>
      </c>
      <c r="F67" s="92">
        <f t="shared" si="1"/>
        <v>0</v>
      </c>
    </row>
    <row r="68" spans="1:6" x14ac:dyDescent="0.25">
      <c r="A68" s="94">
        <v>64</v>
      </c>
      <c r="B68" s="93" t="s">
        <v>138</v>
      </c>
      <c r="C68" s="96">
        <v>5719008</v>
      </c>
      <c r="D68" s="95">
        <v>1947090</v>
      </c>
      <c r="E68" s="95">
        <v>3771918</v>
      </c>
      <c r="F68" s="92">
        <f t="shared" si="1"/>
        <v>0</v>
      </c>
    </row>
    <row r="69" spans="1:6" x14ac:dyDescent="0.25">
      <c r="A69" s="94">
        <v>65</v>
      </c>
      <c r="B69" s="93" t="s">
        <v>137</v>
      </c>
      <c r="C69" s="96">
        <v>10672824</v>
      </c>
      <c r="D69" s="95">
        <v>3549261</v>
      </c>
      <c r="E69" s="95">
        <v>7123563</v>
      </c>
      <c r="F69" s="92">
        <f t="shared" ref="F69:F89" si="2">C69-D69-E69</f>
        <v>0</v>
      </c>
    </row>
    <row r="70" spans="1:6" x14ac:dyDescent="0.25">
      <c r="A70" s="94">
        <v>66</v>
      </c>
      <c r="B70" s="93" t="s">
        <v>136</v>
      </c>
      <c r="C70" s="96">
        <v>9722694</v>
      </c>
      <c r="D70" s="95">
        <v>2651865</v>
      </c>
      <c r="E70" s="95">
        <v>7070829</v>
      </c>
      <c r="F70" s="92">
        <f t="shared" si="2"/>
        <v>0</v>
      </c>
    </row>
    <row r="71" spans="1:6" x14ac:dyDescent="0.25">
      <c r="A71" s="94">
        <v>67</v>
      </c>
      <c r="B71" s="93" t="s">
        <v>135</v>
      </c>
      <c r="C71" s="96">
        <v>2162969</v>
      </c>
      <c r="D71" s="95">
        <v>1277198</v>
      </c>
      <c r="E71" s="95">
        <v>885771</v>
      </c>
      <c r="F71" s="92">
        <f t="shared" si="2"/>
        <v>0</v>
      </c>
    </row>
    <row r="72" spans="1:6" x14ac:dyDescent="0.25">
      <c r="A72" s="94">
        <v>68</v>
      </c>
      <c r="B72" s="97" t="s">
        <v>134</v>
      </c>
      <c r="C72" s="96">
        <v>16204055</v>
      </c>
      <c r="D72" s="95">
        <v>10456504</v>
      </c>
      <c r="E72" s="95">
        <v>5747551</v>
      </c>
      <c r="F72" s="92">
        <f t="shared" si="2"/>
        <v>0</v>
      </c>
    </row>
    <row r="73" spans="1:6" x14ac:dyDescent="0.25">
      <c r="A73" s="94">
        <v>69</v>
      </c>
      <c r="B73" s="93" t="s">
        <v>133</v>
      </c>
      <c r="C73" s="96">
        <v>5453773</v>
      </c>
      <c r="D73" s="95">
        <v>3950808</v>
      </c>
      <c r="E73" s="95">
        <v>1502965</v>
      </c>
      <c r="F73" s="92">
        <f t="shared" si="2"/>
        <v>0</v>
      </c>
    </row>
    <row r="74" spans="1:6" x14ac:dyDescent="0.25">
      <c r="A74" s="94">
        <v>70</v>
      </c>
      <c r="B74" s="93" t="s">
        <v>132</v>
      </c>
      <c r="C74" s="96">
        <v>6507477</v>
      </c>
      <c r="D74" s="95">
        <v>2078870</v>
      </c>
      <c r="E74" s="95">
        <v>4428607</v>
      </c>
      <c r="F74" s="92">
        <f t="shared" si="2"/>
        <v>0</v>
      </c>
    </row>
    <row r="75" spans="1:6" x14ac:dyDescent="0.25">
      <c r="A75" s="94">
        <v>71</v>
      </c>
      <c r="B75" s="93" t="s">
        <v>131</v>
      </c>
      <c r="C75" s="96">
        <v>6641898</v>
      </c>
      <c r="D75" s="95">
        <v>2666054</v>
      </c>
      <c r="E75" s="95">
        <v>3975844</v>
      </c>
      <c r="F75" s="92">
        <f t="shared" si="2"/>
        <v>0</v>
      </c>
    </row>
    <row r="76" spans="1:6" x14ac:dyDescent="0.25">
      <c r="A76" s="94">
        <v>72</v>
      </c>
      <c r="B76" s="93" t="s">
        <v>130</v>
      </c>
      <c r="C76" s="96">
        <v>3444865</v>
      </c>
      <c r="D76" s="95">
        <v>1368251</v>
      </c>
      <c r="E76" s="95">
        <v>2076614</v>
      </c>
      <c r="F76" s="92">
        <f t="shared" si="2"/>
        <v>0</v>
      </c>
    </row>
    <row r="77" spans="1:6" x14ac:dyDescent="0.25">
      <c r="A77" s="94">
        <v>73</v>
      </c>
      <c r="B77" s="93" t="s">
        <v>129</v>
      </c>
      <c r="C77" s="96">
        <v>6517772</v>
      </c>
      <c r="D77" s="95">
        <v>1706308</v>
      </c>
      <c r="E77" s="95">
        <v>4811464</v>
      </c>
      <c r="F77" s="92">
        <f t="shared" si="2"/>
        <v>0</v>
      </c>
    </row>
    <row r="78" spans="1:6" x14ac:dyDescent="0.25">
      <c r="A78" s="94">
        <v>74</v>
      </c>
      <c r="B78" s="93" t="s">
        <v>128</v>
      </c>
      <c r="C78" s="96">
        <v>4913699</v>
      </c>
      <c r="D78" s="95">
        <v>4746697</v>
      </c>
      <c r="E78" s="95">
        <v>167002</v>
      </c>
      <c r="F78" s="92">
        <f t="shared" si="2"/>
        <v>0</v>
      </c>
    </row>
    <row r="79" spans="1:6" x14ac:dyDescent="0.25">
      <c r="A79" s="94">
        <v>75</v>
      </c>
      <c r="B79" s="93" t="s">
        <v>127</v>
      </c>
      <c r="C79" s="96">
        <v>4522962</v>
      </c>
      <c r="D79" s="95">
        <v>2221064</v>
      </c>
      <c r="E79" s="95">
        <v>2301898</v>
      </c>
      <c r="F79" s="92">
        <f t="shared" si="2"/>
        <v>0</v>
      </c>
    </row>
    <row r="80" spans="1:6" x14ac:dyDescent="0.25">
      <c r="A80" s="94">
        <v>76</v>
      </c>
      <c r="B80" s="93" t="s">
        <v>126</v>
      </c>
      <c r="C80" s="96">
        <v>12403024</v>
      </c>
      <c r="D80" s="95">
        <v>12398712</v>
      </c>
      <c r="E80" s="95">
        <v>4312</v>
      </c>
      <c r="F80" s="92">
        <f t="shared" si="2"/>
        <v>0</v>
      </c>
    </row>
    <row r="81" spans="1:6" x14ac:dyDescent="0.25">
      <c r="A81" s="94">
        <v>77</v>
      </c>
      <c r="B81" s="93" t="s">
        <v>125</v>
      </c>
      <c r="C81" s="96">
        <v>5920603</v>
      </c>
      <c r="D81" s="95">
        <v>1646036</v>
      </c>
      <c r="E81" s="95">
        <v>4274567</v>
      </c>
      <c r="F81" s="92">
        <f t="shared" si="2"/>
        <v>0</v>
      </c>
    </row>
    <row r="82" spans="1:6" x14ac:dyDescent="0.25">
      <c r="A82" s="94">
        <v>78</v>
      </c>
      <c r="B82" s="93" t="s">
        <v>124</v>
      </c>
      <c r="C82" s="96">
        <v>25823054</v>
      </c>
      <c r="D82" s="95">
        <v>9202356</v>
      </c>
      <c r="E82" s="95">
        <v>16620698</v>
      </c>
      <c r="F82" s="92">
        <f t="shared" si="2"/>
        <v>0</v>
      </c>
    </row>
    <row r="83" spans="1:6" x14ac:dyDescent="0.25">
      <c r="A83" s="94">
        <v>79</v>
      </c>
      <c r="B83" s="93" t="s">
        <v>123</v>
      </c>
      <c r="C83" s="96">
        <v>15474132</v>
      </c>
      <c r="D83" s="95">
        <v>15474132</v>
      </c>
      <c r="E83" s="95">
        <v>0</v>
      </c>
      <c r="F83" s="92">
        <f t="shared" si="2"/>
        <v>0</v>
      </c>
    </row>
    <row r="84" spans="1:6" x14ac:dyDescent="0.25">
      <c r="A84" s="94">
        <v>80</v>
      </c>
      <c r="B84" s="93" t="s">
        <v>122</v>
      </c>
      <c r="C84" s="96">
        <v>898410</v>
      </c>
      <c r="D84" s="95">
        <v>113696</v>
      </c>
      <c r="E84" s="95">
        <v>784714</v>
      </c>
      <c r="F84" s="92">
        <f t="shared" si="2"/>
        <v>0</v>
      </c>
    </row>
    <row r="85" spans="1:6" x14ac:dyDescent="0.25">
      <c r="A85" s="94">
        <v>81</v>
      </c>
      <c r="B85" s="93" t="s">
        <v>121</v>
      </c>
      <c r="C85" s="96">
        <v>682464</v>
      </c>
      <c r="D85" s="95">
        <v>477639</v>
      </c>
      <c r="E85" s="95">
        <v>204825</v>
      </c>
      <c r="F85" s="92">
        <f t="shared" si="2"/>
        <v>0</v>
      </c>
    </row>
    <row r="86" spans="1:6" x14ac:dyDescent="0.25">
      <c r="A86" s="94">
        <v>82</v>
      </c>
      <c r="B86" s="93" t="s">
        <v>88</v>
      </c>
      <c r="C86" s="96">
        <v>159330</v>
      </c>
      <c r="D86" s="95">
        <v>117872</v>
      </c>
      <c r="E86" s="95">
        <v>41458</v>
      </c>
      <c r="F86" s="92">
        <f t="shared" si="2"/>
        <v>0</v>
      </c>
    </row>
    <row r="87" spans="1:6" ht="21" customHeight="1" x14ac:dyDescent="0.2">
      <c r="A87" s="94">
        <v>83</v>
      </c>
      <c r="B87" s="93" t="s">
        <v>120</v>
      </c>
      <c r="C87" s="105">
        <v>2473120</v>
      </c>
      <c r="D87" s="106">
        <v>2424005</v>
      </c>
      <c r="E87" s="106">
        <v>49115</v>
      </c>
      <c r="F87" s="92">
        <f t="shared" si="2"/>
        <v>0</v>
      </c>
    </row>
    <row r="88" spans="1:6" x14ac:dyDescent="0.25">
      <c r="A88" s="94">
        <v>84</v>
      </c>
      <c r="B88" s="93" t="s">
        <v>119</v>
      </c>
      <c r="C88" s="96">
        <v>282474</v>
      </c>
      <c r="D88" s="95">
        <v>86444</v>
      </c>
      <c r="E88" s="95">
        <v>196030</v>
      </c>
      <c r="F88" s="92">
        <f t="shared" si="2"/>
        <v>0</v>
      </c>
    </row>
    <row r="89" spans="1:6" x14ac:dyDescent="0.25">
      <c r="A89" s="94">
        <v>85</v>
      </c>
      <c r="B89" s="93" t="s">
        <v>118</v>
      </c>
      <c r="C89" s="96">
        <v>854953</v>
      </c>
      <c r="D89" s="95">
        <v>745097</v>
      </c>
      <c r="E89" s="95">
        <v>109856</v>
      </c>
      <c r="F89" s="92">
        <f t="shared" si="2"/>
        <v>0</v>
      </c>
    </row>
    <row r="90" spans="1:6" ht="14.25" x14ac:dyDescent="0.2">
      <c r="A90" s="91"/>
      <c r="B90" s="90" t="s">
        <v>117</v>
      </c>
      <c r="C90" s="100">
        <v>532853639</v>
      </c>
      <c r="D90" s="101">
        <v>318114332</v>
      </c>
      <c r="E90" s="101">
        <v>214739307</v>
      </c>
    </row>
    <row r="91" spans="1:6" x14ac:dyDescent="0.25">
      <c r="C91" s="89">
        <f>SUM(C5:C89)</f>
        <v>524566160</v>
      </c>
      <c r="D91" s="89">
        <f>SUM(D5:D89)</f>
        <v>297970154</v>
      </c>
      <c r="E91" s="89">
        <f>SUM(E5:E89)</f>
        <v>226596006</v>
      </c>
    </row>
    <row r="92" spans="1:6" x14ac:dyDescent="0.25">
      <c r="C92" s="89"/>
    </row>
  </sheetData>
  <autoFilter ref="A4:F91"/>
  <mergeCells count="5">
    <mergeCell ref="A1:A3"/>
    <mergeCell ref="B1:B3"/>
    <mergeCell ref="C1:E1"/>
    <mergeCell ref="C2:C3"/>
    <mergeCell ref="D2:E2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F0FB63F2F15514396052354C07E041D" ma:contentTypeVersion="0" ma:contentTypeDescription="Создание документа." ma:contentTypeScope="" ma:versionID="8ebb9df6fe8e022443e985784f165d49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255C12-B44E-4CA0-8875-08C56E30610B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B641927-08AB-4E12-A9A2-2830A0E68F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800AF20-618D-4FC3-8879-A4D6D09E87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2017 год </vt:lpstr>
      <vt:lpstr>2018 год</vt:lpstr>
      <vt:lpstr>2019 год</vt:lpstr>
      <vt:lpstr>МБТ2017</vt:lpstr>
      <vt:lpstr>Акты</vt:lpstr>
      <vt:lpstr>'2017 год '!Заголовки_для_печати</vt:lpstr>
      <vt:lpstr>'2017 год '!Область_печати</vt:lpstr>
      <vt:lpstr>'2018 год'!Область_печати</vt:lpstr>
      <vt:lpstr>'2019 год'!Область_печати</vt:lpstr>
      <vt:lpstr>Акты!Область_печати</vt:lpstr>
      <vt:lpstr>МБТ2017!Область_печати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Калинина Е.М.</dc:creator>
  <cp:lastModifiedBy>ШИРАПОВ ГЕРМАН МЭРГЭНОВИЧ</cp:lastModifiedBy>
  <cp:lastPrinted>2016-08-31T15:55:53Z</cp:lastPrinted>
  <dcterms:created xsi:type="dcterms:W3CDTF">1999-06-07T14:24:01Z</dcterms:created>
  <dcterms:modified xsi:type="dcterms:W3CDTF">2016-09-01T13:05:26Z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0x0101003F0FB63F2F15514396052354C07E041D</vt:lpwstr>
  </property>
</Properties>
</file>